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925"/>
  <workbookPr codeName="Questa_cartella_di_lavoro" defaultThemeVersion="124226"/>
  <mc:AlternateContent xmlns:mc="http://schemas.openxmlformats.org/markup-compatibility/2006">
    <mc:Choice Requires="x15">
      <x15ac:absPath xmlns:x15ac="http://schemas.microsoft.com/office/spreadsheetml/2010/11/ac" url="C:\Users\mambrosecchia\Desktop\"/>
    </mc:Choice>
  </mc:AlternateContent>
  <xr:revisionPtr revIDLastSave="0" documentId="13_ncr:1_{DB52859A-15A7-40FA-9F73-7C5E8273C8EC}" xr6:coauthVersionLast="47" xr6:coauthVersionMax="47" xr10:uidLastSave="{00000000-0000-0000-0000-000000000000}"/>
  <workbookProtection workbookAlgorithmName="SHA-512" workbookHashValue="+Uufd8i/7yUmpfYg/aCs5en4wHfkBGn2r9PI1yQEU7iOL4m+2VtYzgcAD5fgVTPEd3oxvLgm4eFlLt9XTAYAZw==" workbookSaltValue="v5jGYGI6oVmHKIORA5ZCyQ==" workbookSpinCount="100000" lockStructure="1"/>
  <bookViews>
    <workbookView xWindow="28680" yWindow="-120" windowWidth="29040" windowHeight="15840" xr2:uid="{00000000-000D-0000-FFFF-FFFF00000000}"/>
  </bookViews>
  <sheets>
    <sheet name="PROSPETTO" sheetId="7" r:id="rId1"/>
    <sheet name="ESL" sheetId="1" state="hidden" r:id="rId2"/>
    <sheet name="Flussi finanziamento" sheetId="4" state="hidden" r:id="rId3"/>
    <sheet name="Configurazione" sheetId="5" state="hidden" r:id="rId4"/>
    <sheet name="TabSintesi" sheetId="6" state="hidden" r:id="rId5"/>
  </sheets>
  <definedNames>
    <definedName name="_xlnm.Print_Area" localSheetId="3">Configurazione!$A$1:$L$42</definedName>
    <definedName name="_xlnm.Print_Area" localSheetId="1">ESL!$A$1:$I$50,ESL!$A$52:$I$75</definedName>
    <definedName name="_xlnm.Print_Area" localSheetId="2">'Flussi finanziamento'!$A$1:$M$28</definedName>
    <definedName name="_xlnm.Print_Area" localSheetId="0">PROSPETTO!$B$1:$J$30</definedName>
    <definedName name="ESL_massimo">Configurazione!#REF!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D6" i="7" l="1"/>
  <c r="D24" i="1"/>
  <c r="D23" i="1"/>
  <c r="D12" i="1"/>
  <c r="D8" i="1"/>
  <c r="D17" i="1"/>
  <c r="E11" i="7"/>
  <c r="E13" i="7" l="1"/>
  <c r="D16" i="1"/>
  <c r="E12" i="7"/>
  <c r="B28" i="6" l="1"/>
  <c r="A26" i="6"/>
  <c r="A27" i="6"/>
  <c r="A28" i="6"/>
  <c r="A29" i="6"/>
  <c r="A22" i="6"/>
  <c r="B22" i="6"/>
  <c r="A21" i="6"/>
  <c r="A20" i="6"/>
  <c r="B20" i="6"/>
  <c r="A23" i="6"/>
  <c r="A24" i="6"/>
  <c r="A25" i="6"/>
  <c r="A16" i="6"/>
  <c r="A13" i="6"/>
  <c r="A14" i="6"/>
  <c r="A12" i="6"/>
  <c r="A9" i="6"/>
  <c r="A8" i="6"/>
  <c r="B8" i="6"/>
  <c r="B9" i="6"/>
  <c r="A10" i="6"/>
  <c r="B10" i="6"/>
  <c r="A11" i="6"/>
  <c r="B11" i="6"/>
  <c r="A15" i="6"/>
  <c r="B15" i="6"/>
  <c r="B16" i="6"/>
  <c r="A17" i="6"/>
  <c r="A18" i="6"/>
  <c r="A19" i="6"/>
  <c r="B19" i="6"/>
  <c r="B5" i="6"/>
  <c r="B6" i="6"/>
  <c r="A7" i="6"/>
  <c r="A5" i="6"/>
  <c r="B4" i="6"/>
  <c r="B3" i="6"/>
  <c r="A4" i="6"/>
  <c r="A3" i="6"/>
  <c r="B2" i="6"/>
  <c r="D36" i="1"/>
  <c r="B21" i="6" s="1"/>
  <c r="B14" i="6"/>
  <c r="E17" i="1" l="1"/>
  <c r="B13" i="6" s="1"/>
  <c r="C46" i="1" l="1"/>
  <c r="C24" i="7" s="1"/>
  <c r="B27" i="6" l="1"/>
  <c r="E16" i="1"/>
  <c r="B12" i="6" s="1"/>
  <c r="C8" i="1" l="1"/>
  <c r="A6" i="6" s="1"/>
  <c r="D40" i="1" l="1"/>
  <c r="B25" i="6" s="1"/>
  <c r="F25" i="5"/>
  <c r="E73" i="1" l="1"/>
  <c r="E70" i="1"/>
  <c r="E68" i="1"/>
  <c r="E72" i="1"/>
  <c r="E71" i="1"/>
  <c r="E69" i="1"/>
  <c r="F37" i="5"/>
  <c r="F36" i="5"/>
  <c r="F35" i="5"/>
  <c r="F29" i="5"/>
  <c r="F28" i="5" l="1"/>
  <c r="F26" i="5"/>
  <c r="F27" i="5"/>
  <c r="F22" i="5"/>
  <c r="F23" i="5"/>
  <c r="F24" i="5"/>
  <c r="F21" i="5"/>
  <c r="D37" i="1" l="1"/>
  <c r="D9" i="1"/>
  <c r="B7" i="6" s="1"/>
  <c r="D38" i="1" l="1"/>
  <c r="B24" i="6" s="1"/>
  <c r="B23" i="6"/>
  <c r="E55" i="1"/>
  <c r="E56" i="1"/>
  <c r="E57" i="1"/>
  <c r="E58" i="1"/>
  <c r="E59" i="1"/>
  <c r="E60" i="1"/>
  <c r="E61" i="1"/>
  <c r="E62" i="1"/>
  <c r="E63" i="1"/>
  <c r="E64" i="1"/>
  <c r="E65" i="1"/>
  <c r="E66" i="1"/>
  <c r="E67" i="1"/>
  <c r="E54" i="1"/>
  <c r="D25" i="1" l="1"/>
  <c r="E4" i="4"/>
  <c r="J4" i="4" l="1"/>
  <c r="B17" i="6"/>
  <c r="C4" i="4"/>
  <c r="I4" i="4"/>
  <c r="D26" i="1"/>
  <c r="B18" i="6" s="1"/>
  <c r="D4" i="4"/>
  <c r="K4" i="4" l="1"/>
  <c r="B4" i="4" l="1"/>
  <c r="D22" i="4" l="1"/>
  <c r="D23" i="4"/>
  <c r="D25" i="4"/>
  <c r="D26" i="4"/>
  <c r="D21" i="4"/>
  <c r="D24" i="4"/>
  <c r="D18" i="4"/>
  <c r="D12" i="4"/>
  <c r="D20" i="4"/>
  <c r="D13" i="4"/>
  <c r="D17" i="4"/>
  <c r="D14" i="4"/>
  <c r="D15" i="4"/>
  <c r="D16" i="4"/>
  <c r="D19" i="4"/>
  <c r="H4" i="4"/>
  <c r="C7" i="4"/>
  <c r="D7" i="4" s="1"/>
  <c r="I7" i="4" l="1"/>
  <c r="J7" i="4" s="1"/>
  <c r="C54" i="1" s="1"/>
  <c r="D54" i="1" s="1"/>
  <c r="J22" i="4"/>
  <c r="C69" i="1" s="1"/>
  <c r="D69" i="1" s="1"/>
  <c r="J19" i="4"/>
  <c r="C66" i="1" s="1"/>
  <c r="D66" i="1" s="1"/>
  <c r="J12" i="4"/>
  <c r="C59" i="1" s="1"/>
  <c r="D59" i="1" s="1"/>
  <c r="J16" i="4"/>
  <c r="C63" i="1" s="1"/>
  <c r="D63" i="1" s="1"/>
  <c r="J13" i="4"/>
  <c r="C60" i="1" s="1"/>
  <c r="D60" i="1" s="1"/>
  <c r="J25" i="4"/>
  <c r="C72" i="1" s="1"/>
  <c r="D72" i="1" s="1"/>
  <c r="J20" i="4"/>
  <c r="C67" i="1" s="1"/>
  <c r="D67" i="1" s="1"/>
  <c r="J17" i="4"/>
  <c r="C64" i="1" s="1"/>
  <c r="D64" i="1" s="1"/>
  <c r="J18" i="4"/>
  <c r="C65" i="1" s="1"/>
  <c r="D65" i="1" s="1"/>
  <c r="J15" i="4"/>
  <c r="C62" i="1" s="1"/>
  <c r="D62" i="1" s="1"/>
  <c r="J26" i="4"/>
  <c r="C73" i="1" s="1"/>
  <c r="D73" i="1" s="1"/>
  <c r="J21" i="4"/>
  <c r="C68" i="1" s="1"/>
  <c r="D68" i="1" s="1"/>
  <c r="J14" i="4"/>
  <c r="C61" i="1" s="1"/>
  <c r="D61" i="1" s="1"/>
  <c r="J24" i="4"/>
  <c r="C71" i="1" s="1"/>
  <c r="D71" i="1" s="1"/>
  <c r="J23" i="4"/>
  <c r="C70" i="1" s="1"/>
  <c r="D70" i="1" s="1"/>
  <c r="F7" i="4"/>
  <c r="L7" i="4" l="1"/>
  <c r="K7" i="4" s="1"/>
  <c r="E7" i="4"/>
  <c r="C8" i="4" l="1"/>
  <c r="D8" i="4" s="1"/>
  <c r="I8" i="4"/>
  <c r="J8" i="4" s="1"/>
  <c r="C55" i="1" l="1"/>
  <c r="L8" i="4"/>
  <c r="F8" i="4"/>
  <c r="D55" i="1" l="1"/>
  <c r="E8" i="4"/>
  <c r="K8" i="4"/>
  <c r="I9" i="4" l="1"/>
  <c r="J9" i="4" s="1"/>
  <c r="C9" i="4"/>
  <c r="D9" i="4" s="1"/>
  <c r="C56" i="1" l="1"/>
  <c r="F9" i="4"/>
  <c r="L9" i="4"/>
  <c r="D56" i="1" l="1"/>
  <c r="K9" i="4"/>
  <c r="E9" i="4"/>
  <c r="C10" i="4" l="1"/>
  <c r="D10" i="4" s="1"/>
  <c r="I10" i="4"/>
  <c r="J10" i="4" s="1"/>
  <c r="C57" i="1" l="1"/>
  <c r="L10" i="4"/>
  <c r="F10" i="4"/>
  <c r="D57" i="1" l="1"/>
  <c r="E10" i="4"/>
  <c r="K10" i="4"/>
  <c r="I11" i="4" l="1"/>
  <c r="J11" i="4" s="1"/>
  <c r="C11" i="4"/>
  <c r="D11" i="4" s="1"/>
  <c r="D27" i="4" s="1"/>
  <c r="C58" i="1" l="1"/>
  <c r="J27" i="4"/>
  <c r="F11" i="4"/>
  <c r="L11" i="4"/>
  <c r="D58" i="1" l="1"/>
  <c r="D74" i="1" s="1"/>
  <c r="C45" i="1" s="1"/>
  <c r="C74" i="1"/>
  <c r="K11" i="4"/>
  <c r="E11" i="4"/>
  <c r="C23" i="7" l="1"/>
  <c r="E27" i="7" s="1"/>
  <c r="F27" i="7" s="1"/>
  <c r="E49" i="1"/>
  <c r="D45" i="1"/>
  <c r="D23" i="7" s="1"/>
  <c r="B26" i="6"/>
  <c r="C12" i="4"/>
  <c r="I12" i="4"/>
  <c r="B29" i="6" l="1"/>
  <c r="F49" i="1"/>
  <c r="L12" i="4"/>
  <c r="K12" i="4" s="1"/>
  <c r="I13" i="4" s="1"/>
  <c r="F12" i="4"/>
  <c r="E12" i="4" s="1"/>
  <c r="C13" i="4" s="1"/>
  <c r="F13" i="4" l="1"/>
  <c r="E13" i="4" s="1"/>
  <c r="C14" i="4" s="1"/>
  <c r="L13" i="4"/>
  <c r="K13" i="4" s="1"/>
  <c r="I14" i="4" s="1"/>
  <c r="L14" i="4" l="1"/>
  <c r="K14" i="4" s="1"/>
  <c r="I15" i="4" s="1"/>
  <c r="F14" i="4"/>
  <c r="E14" i="4" s="1"/>
  <c r="C15" i="4" s="1"/>
  <c r="F15" i="4" l="1"/>
  <c r="E15" i="4" s="1"/>
  <c r="C16" i="4" s="1"/>
  <c r="L15" i="4"/>
  <c r="K15" i="4" s="1"/>
  <c r="I16" i="4" s="1"/>
  <c r="L16" i="4" l="1"/>
  <c r="K16" i="4" s="1"/>
  <c r="I17" i="4" s="1"/>
  <c r="F16" i="4"/>
  <c r="E16" i="4" s="1"/>
  <c r="C17" i="4" s="1"/>
  <c r="F17" i="4" l="1"/>
  <c r="E17" i="4" s="1"/>
  <c r="C18" i="4" s="1"/>
  <c r="L17" i="4"/>
  <c r="K17" i="4" s="1"/>
  <c r="I18" i="4" s="1"/>
  <c r="L18" i="4" l="1"/>
  <c r="K18" i="4" s="1"/>
  <c r="I19" i="4" s="1"/>
  <c r="F18" i="4"/>
  <c r="E18" i="4" s="1"/>
  <c r="C19" i="4" s="1"/>
  <c r="F19" i="4" l="1"/>
  <c r="E19" i="4" s="1"/>
  <c r="C20" i="4" s="1"/>
  <c r="L19" i="4"/>
  <c r="K19" i="4" s="1"/>
  <c r="I20" i="4" s="1"/>
  <c r="L20" i="4" l="1"/>
  <c r="K20" i="4" s="1"/>
  <c r="I21" i="4" s="1"/>
  <c r="F20" i="4"/>
  <c r="E20" i="4" s="1"/>
  <c r="L21" i="4" l="1"/>
  <c r="K21" i="4" s="1"/>
  <c r="I22" i="4" s="1"/>
  <c r="L22" i="4" s="1"/>
  <c r="K22" i="4" s="1"/>
  <c r="I23" i="4" s="1"/>
  <c r="C21" i="4"/>
  <c r="L23" i="4" l="1"/>
  <c r="K23" i="4" s="1"/>
  <c r="I24" i="4" s="1"/>
  <c r="L24" i="4" s="1"/>
  <c r="K24" i="4" s="1"/>
  <c r="I25" i="4" s="1"/>
  <c r="F21" i="4"/>
  <c r="E21" i="4" s="1"/>
  <c r="C22" i="4" s="1"/>
  <c r="L25" i="4" l="1"/>
  <c r="K25" i="4" s="1"/>
  <c r="I26" i="4" s="1"/>
  <c r="L26" i="4" s="1"/>
  <c r="F22" i="4"/>
  <c r="E22" i="4" s="1"/>
  <c r="C23" i="4" s="1"/>
  <c r="F23" i="4" s="1"/>
  <c r="E23" i="4" s="1"/>
  <c r="C24" i="4" s="1"/>
  <c r="K26" i="4" l="1"/>
  <c r="K27" i="4" s="1"/>
  <c r="L27" i="4"/>
  <c r="F24" i="4"/>
  <c r="E24" i="4" s="1"/>
  <c r="C25" i="4" s="1"/>
  <c r="F25" i="4" s="1"/>
  <c r="E25" i="4" s="1"/>
  <c r="C26" i="4" s="1"/>
  <c r="F26" i="4" s="1"/>
  <c r="E26" i="4" l="1"/>
  <c r="E27" i="4" s="1"/>
  <c r="F27" i="4"/>
</calcChain>
</file>

<file path=xl/sharedStrings.xml><?xml version="1.0" encoding="utf-8"?>
<sst xmlns="http://schemas.openxmlformats.org/spreadsheetml/2006/main" count="157" uniqueCount="100">
  <si>
    <t>Spread</t>
  </si>
  <si>
    <t>Tasso mercato</t>
  </si>
  <si>
    <t>Tasso applicato su fondi regionali</t>
  </si>
  <si>
    <t>Rata</t>
  </si>
  <si>
    <t>Debito residuo</t>
  </si>
  <si>
    <t>Quota interessi</t>
  </si>
  <si>
    <t>Quota capitale</t>
  </si>
  <si>
    <t>Rata totale</t>
  </si>
  <si>
    <t>Finanziamento</t>
  </si>
  <si>
    <t>N. Rate complessive</t>
  </si>
  <si>
    <t>Rate / anno</t>
  </si>
  <si>
    <t>Rate totali</t>
  </si>
  <si>
    <t>Tasso interesse</t>
  </si>
  <si>
    <t>Rate pre-ammortamento</t>
  </si>
  <si>
    <t>Rate ammortamento</t>
  </si>
  <si>
    <t>Totale</t>
  </si>
  <si>
    <t>Contributo pro-rata</t>
  </si>
  <si>
    <t>Contributo attualizzato</t>
  </si>
  <si>
    <t>Tasso di attualizzazione</t>
  </si>
  <si>
    <t>Fattore di sconto</t>
  </si>
  <si>
    <t>ESL</t>
  </si>
  <si>
    <t>Calcolo ESL su finanziamento</t>
  </si>
  <si>
    <t>Rating Category</t>
  </si>
  <si>
    <t>Strong (AAA-A)</t>
  </si>
  <si>
    <t>Good (BBB)</t>
  </si>
  <si>
    <t>Satisfactory (BB)</t>
  </si>
  <si>
    <t>Weak (B)</t>
  </si>
  <si>
    <t>Bad (CCC and below)</t>
  </si>
  <si>
    <t>Collateralisation</t>
  </si>
  <si>
    <t>DURATA FINANZIAMENTO</t>
  </si>
  <si>
    <t>TASSO FINANZIAMENTO</t>
  </si>
  <si>
    <t>TASSO di MERCATO</t>
  </si>
  <si>
    <t>Finanziamento Agevolato</t>
  </si>
  <si>
    <t>Finanziamento di Mercato</t>
  </si>
  <si>
    <t>PROGRAMMA DI INVESTIMENTO</t>
  </si>
  <si>
    <t>Finanziamento regionale massimo consentito</t>
  </si>
  <si>
    <t>N. Rate pre-ammortamento</t>
  </si>
  <si>
    <t>Quota di contributo a fondo perduto</t>
  </si>
  <si>
    <t>Spread  (Fonte: Commissione UE)</t>
  </si>
  <si>
    <t>Rating associato</t>
  </si>
  <si>
    <t>Start Up</t>
  </si>
  <si>
    <r>
      <t xml:space="preserve">Durata finanziamento
</t>
    </r>
    <r>
      <rPr>
        <i/>
        <sz val="11"/>
        <color theme="1"/>
        <rFont val="Arial"/>
        <family val="2"/>
      </rPr>
      <t>(Anni)</t>
    </r>
  </si>
  <si>
    <t>Tipologia di intervento</t>
  </si>
  <si>
    <t xml:space="preserve"> - Seleziona -</t>
  </si>
  <si>
    <t>ID Progetto:</t>
  </si>
  <si>
    <t>Avvio/sviluppo di MPMI</t>
  </si>
  <si>
    <t>Avvio/sviluppo attività libero-professionale</t>
  </si>
  <si>
    <t>Tipo impresa</t>
  </si>
  <si>
    <t>Da (compreso)</t>
  </si>
  <si>
    <t>a</t>
  </si>
  <si>
    <t>Finanziamento regionale proposto (€)</t>
  </si>
  <si>
    <t>Limite incidenza Finanziamento / Investimento</t>
  </si>
  <si>
    <t>Soggetto richiedente:</t>
  </si>
  <si>
    <t>Spese ammissibili (€)</t>
  </si>
  <si>
    <t>% delle spese ammissibili</t>
  </si>
  <si>
    <t>SELEZIONA</t>
  </si>
  <si>
    <t>Intervento agevolativo  massimo consentito</t>
  </si>
  <si>
    <t>Credit score (Classe di rischio da modello Fondo Centrale di Garanzia)</t>
  </si>
  <si>
    <r>
      <t>High</t>
    </r>
    <r>
      <rPr>
        <b/>
        <i/>
        <sz val="10"/>
        <color theme="1"/>
        <rFont val="Arial"/>
        <family val="2"/>
      </rPr>
      <t xml:space="preserve"> </t>
    </r>
    <r>
      <rPr>
        <i/>
        <sz val="10"/>
        <color theme="1"/>
        <rFont val="Arial"/>
        <family val="2"/>
      </rPr>
      <t>(LGD&lt;=30%)</t>
    </r>
  </si>
  <si>
    <r>
      <t>Normal</t>
    </r>
    <r>
      <rPr>
        <i/>
        <sz val="10"/>
        <color theme="1"/>
        <rFont val="Arial"/>
        <family val="2"/>
      </rPr>
      <t xml:space="preserve"> (30%&lt;LGD&lt;60%)</t>
    </r>
  </si>
  <si>
    <r>
      <t>Low</t>
    </r>
    <r>
      <rPr>
        <i/>
        <sz val="10"/>
        <color theme="1"/>
        <rFont val="Arial"/>
        <family val="2"/>
      </rPr>
      <t xml:space="preserve"> (LGD=&gt;60%)</t>
    </r>
  </si>
  <si>
    <t>nessuna garanzia richiesta (LGD 100%)</t>
  </si>
  <si>
    <t>Start-up</t>
  </si>
  <si>
    <t>richiede la prestazione di garanzia pari al 25/30% dell'intervento finanziario (--&gt; LGD 75/70%)</t>
  </si>
  <si>
    <t>richiede la prestazione di garanzia pari al 45/50% dell'intervento finanziario (--&gt; LGD 55/50%)</t>
  </si>
  <si>
    <t>richiede la prestazione di garanzia pari al 75/80% dell'intervento finanziario (--&gt; LGD 25/20%)</t>
  </si>
  <si>
    <t>Credit score (Credit scoring per start-up)</t>
  </si>
  <si>
    <t>Classe di rischio FCG</t>
  </si>
  <si>
    <t>calcolato sulla base dei tassi Euribor a 12 mesi rilevati come da Comunicazione della Commissione relativa alla revisione del metodo di fissazione dei tassi di riferimento e di attualizzazione (2008/C 14/02)</t>
  </si>
  <si>
    <t>Impresa consolidata</t>
  </si>
  <si>
    <t>(semestrali)</t>
  </si>
  <si>
    <t>tasso di sconto fissato dall'Unione Europea  con decorrenza dal :</t>
  </si>
  <si>
    <t>Imprese consolidate</t>
  </si>
  <si>
    <t>ESL finanziamento</t>
  </si>
  <si>
    <t xml:space="preserve">COMPOSIZIONE AGEVOLAZIONE PROPOSTA </t>
  </si>
  <si>
    <t>Contributo risultati occupazionali (€)</t>
  </si>
  <si>
    <t>ESL contributi</t>
  </si>
  <si>
    <t>De minimis totali (compresi finanziamento e contributi proposti)</t>
  </si>
  <si>
    <t>De minimis ultimo triennio risultanti da RNA  (€)</t>
  </si>
  <si>
    <t>Base rate</t>
  </si>
  <si>
    <t xml:space="preserve">Base rate :  </t>
  </si>
  <si>
    <t>DESCRIZIONE</t>
  </si>
  <si>
    <t>VALORI</t>
  </si>
  <si>
    <t>Bando:</t>
  </si>
  <si>
    <t>ESL - VERSO NUOVI MERCATI - Sportello 2025</t>
  </si>
  <si>
    <t>Data</t>
  </si>
  <si>
    <t>Credit scoring</t>
  </si>
  <si>
    <t>&lt;-- COMPRESO TRA 30.000 E 600.000 EURO</t>
  </si>
  <si>
    <t>&lt;-- COMPRESO TRA 1 E 7</t>
  </si>
  <si>
    <t>Programma spesa (€)</t>
  </si>
  <si>
    <t>&lt;-- MAX 65% SPESA</t>
  </si>
  <si>
    <t>&lt;-- MAX 20% SPESA</t>
  </si>
  <si>
    <t>STIMA ESL - VERSO NUOVI MERCATI - Sportello 2025</t>
  </si>
  <si>
    <t>Finanziamento regionale (€)</t>
  </si>
  <si>
    <t>Contributo regionale (€)</t>
  </si>
  <si>
    <t>Fondi propri</t>
  </si>
  <si>
    <t>&lt;-- DA 3 A 6</t>
  </si>
  <si>
    <t>&lt;-- DA 0 A 4</t>
  </si>
  <si>
    <t>DISCLAIMER</t>
  </si>
  <si>
    <t xml:space="preserve">Il presente file Excel ha l’obiettivo di fornire ai soggetti potenzialmente interessati a ricorrere ad una iniziativa di finanza agevolata una stima preliminare dell’ESL (Equivalente Sovvenzione Lorda) della misura Verso Nuovi Mercati.
Pertanto, si precisa che tale strumento può essere utilizzato esclusivamente ai fini di una valutazione preliminare ed i risultati non possono in alcun modo essere considerati come vincolanti né l’importo calcolato potrà essere considerato ai fini della successiva domanda di partecipazione e del relativo iter di selezione e concessione.
Per una puntuale verifica dell’ammissibilità alla misura si rimanda al dispositivo di attuazione disponibile sul sito web di Regione Lombardia e di Finlombarda.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</si>
</sst>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quot;€&quot;\ * #,##0.00_-;\-&quot;€&quot;\ * #,##0.00_-;_-&quot;€&quot;\ * &quot;-&quot;??_-;_-@_-"/>
    <numFmt numFmtId="165" formatCode="0.00000"/>
    <numFmt numFmtId="166" formatCode="_-&quot;€&quot;\ * #,##0.00_-;[Red]\ \-&quot;€&quot;\ * #,##0.00_-;_-&quot;€&quot;\ * &quot;-&quot;??_-;_-@_-"/>
  </numFmts>
  <fonts count="29" x14ac:knownFonts="1">
    <font>
      <sz val="11"/>
      <color theme="1"/>
      <name val="Calibri"/>
      <family val="2"/>
      <scheme val="minor"/>
    </font>
    <font>
      <sz val="11"/>
      <color theme="1"/>
      <name val="Calibri"/>
      <family val="2"/>
      <scheme val="minor"/>
    </font>
    <font>
      <b/>
      <sz val="11"/>
      <color theme="1"/>
      <name val="Calibri"/>
      <family val="2"/>
      <scheme val="minor"/>
    </font>
    <font>
      <sz val="12"/>
      <color theme="1"/>
      <name val="Arial"/>
      <family val="2"/>
    </font>
    <font>
      <b/>
      <sz val="12"/>
      <color theme="1"/>
      <name val="Arial"/>
      <family val="2"/>
    </font>
    <font>
      <i/>
      <sz val="9"/>
      <color theme="1"/>
      <name val="Arial"/>
      <family val="2"/>
    </font>
    <font>
      <i/>
      <sz val="10"/>
      <color theme="1"/>
      <name val="Arial"/>
      <family val="2"/>
    </font>
    <font>
      <sz val="9"/>
      <color theme="1"/>
      <name val="Arial"/>
      <family val="2"/>
    </font>
    <font>
      <sz val="11"/>
      <color theme="1"/>
      <name val="Arial"/>
      <family val="2"/>
    </font>
    <font>
      <sz val="11"/>
      <name val="Arial"/>
      <family val="2"/>
    </font>
    <font>
      <i/>
      <sz val="10"/>
      <name val="Arial"/>
      <family val="2"/>
    </font>
    <font>
      <b/>
      <sz val="11"/>
      <color theme="1"/>
      <name val="Arial"/>
      <family val="2"/>
    </font>
    <font>
      <sz val="10"/>
      <name val="Arial"/>
      <family val="2"/>
    </font>
    <font>
      <i/>
      <sz val="11"/>
      <color theme="1"/>
      <name val="Arial"/>
      <family val="2"/>
    </font>
    <font>
      <i/>
      <sz val="12"/>
      <color theme="1"/>
      <name val="Arial"/>
      <family val="2"/>
    </font>
    <font>
      <b/>
      <sz val="9"/>
      <color rgb="FF000099"/>
      <name val="Arial"/>
      <family val="2"/>
    </font>
    <font>
      <b/>
      <sz val="11"/>
      <color rgb="FF000099"/>
      <name val="Arial"/>
      <family val="2"/>
    </font>
    <font>
      <b/>
      <sz val="16"/>
      <color rgb="FF000099"/>
      <name val="Arial"/>
      <family val="2"/>
    </font>
    <font>
      <sz val="12"/>
      <color theme="0"/>
      <name val="Arial"/>
      <family val="2"/>
    </font>
    <font>
      <b/>
      <sz val="12"/>
      <color theme="0"/>
      <name val="Arial"/>
      <family val="2"/>
    </font>
    <font>
      <sz val="12"/>
      <color rgb="FFFF0000"/>
      <name val="Arial"/>
      <family val="2"/>
    </font>
    <font>
      <b/>
      <i/>
      <sz val="10"/>
      <color theme="1"/>
      <name val="Arial"/>
      <family val="2"/>
    </font>
    <font>
      <b/>
      <sz val="12"/>
      <color rgb="FF000099"/>
      <name val="Arial"/>
      <family val="2"/>
    </font>
    <font>
      <b/>
      <i/>
      <sz val="10"/>
      <color rgb="FF000099"/>
      <name val="Arial"/>
      <family val="2"/>
    </font>
    <font>
      <b/>
      <sz val="12"/>
      <name val="Arial"/>
      <family val="2"/>
    </font>
    <font>
      <sz val="12"/>
      <color rgb="FF000099"/>
      <name val="Arial"/>
      <family val="2"/>
    </font>
    <font>
      <i/>
      <sz val="11"/>
      <color rgb="FFFF0000"/>
      <name val="Arial"/>
      <family val="2"/>
    </font>
    <font>
      <sz val="11"/>
      <color theme="1"/>
      <name val="Aptos"/>
      <family val="2"/>
    </font>
    <font>
      <b/>
      <sz val="11"/>
      <color rgb="FFFF0000"/>
      <name val="Aptos"/>
      <family val="2"/>
    </font>
  </fonts>
  <fills count="7">
    <fill>
      <patternFill patternType="none"/>
    </fill>
    <fill>
      <patternFill patternType="gray125"/>
    </fill>
    <fill>
      <patternFill patternType="solid">
        <fgColor theme="0" tint="-0.14999847407452621"/>
        <bgColor indexed="64"/>
      </patternFill>
    </fill>
    <fill>
      <patternFill patternType="solid">
        <fgColor theme="0" tint="-0.249977111117893"/>
        <bgColor indexed="64"/>
      </patternFill>
    </fill>
    <fill>
      <patternFill patternType="solid">
        <fgColor theme="0" tint="-4.9989318521683403E-2"/>
        <bgColor indexed="64"/>
      </patternFill>
    </fill>
    <fill>
      <patternFill patternType="solid">
        <fgColor rgb="FFFFFF00"/>
        <bgColor indexed="64"/>
      </patternFill>
    </fill>
    <fill>
      <patternFill patternType="solid">
        <fgColor rgb="FF92D05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style="hair">
        <color auto="1"/>
      </top>
      <bottom style="hair">
        <color auto="1"/>
      </bottom>
      <diagonal/>
    </border>
    <border>
      <left/>
      <right/>
      <top/>
      <bottom style="dotted">
        <color auto="1"/>
      </bottom>
      <diagonal/>
    </border>
    <border>
      <left/>
      <right/>
      <top style="dotted">
        <color auto="1"/>
      </top>
      <bottom/>
      <diagonal/>
    </border>
    <border>
      <left/>
      <right/>
      <top style="thin">
        <color indexed="64"/>
      </top>
      <bottom/>
      <diagonal/>
    </border>
    <border>
      <left/>
      <right/>
      <top style="dotted">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s>
  <cellStyleXfs count="3">
    <xf numFmtId="0" fontId="0" fillId="0" borderId="0"/>
    <xf numFmtId="164" fontId="1" fillId="0" borderId="0" applyFont="0" applyFill="0" applyBorder="0" applyAlignment="0" applyProtection="0"/>
    <xf numFmtId="9" fontId="1" fillId="0" borderId="0" applyFont="0" applyFill="0" applyBorder="0" applyAlignment="0" applyProtection="0"/>
  </cellStyleXfs>
  <cellXfs count="139">
    <xf numFmtId="0" fontId="0" fillId="0" borderId="0" xfId="0"/>
    <xf numFmtId="164" fontId="4" fillId="0" borderId="0" xfId="1" applyFont="1" applyAlignment="1" applyProtection="1">
      <alignment horizontal="center" vertical="center" wrapText="1"/>
    </xf>
    <xf numFmtId="10" fontId="4" fillId="0" borderId="0" xfId="2" applyNumberFormat="1" applyFont="1" applyAlignment="1" applyProtection="1">
      <alignment horizontal="center" vertical="center" wrapText="1"/>
    </xf>
    <xf numFmtId="164" fontId="5" fillId="0" borderId="0" xfId="1" applyFont="1" applyAlignment="1" applyProtection="1">
      <alignment horizontal="center" vertical="center" wrapText="1"/>
    </xf>
    <xf numFmtId="164" fontId="4" fillId="0" borderId="0" xfId="1" applyFont="1" applyAlignment="1" applyProtection="1">
      <alignment vertical="center" wrapText="1"/>
    </xf>
    <xf numFmtId="10" fontId="7" fillId="0" borderId="0" xfId="2" applyNumberFormat="1" applyFont="1" applyFill="1" applyAlignment="1" applyProtection="1">
      <alignment horizontal="center" vertical="center" wrapText="1"/>
    </xf>
    <xf numFmtId="10" fontId="3" fillId="0" borderId="0" xfId="2" applyNumberFormat="1" applyFont="1" applyAlignment="1" applyProtection="1">
      <alignment horizontal="center" vertical="center" wrapText="1"/>
    </xf>
    <xf numFmtId="164" fontId="5" fillId="4" borderId="2" xfId="1" applyFont="1" applyFill="1" applyBorder="1" applyAlignment="1" applyProtection="1">
      <alignment horizontal="center" vertical="center" wrapText="1"/>
    </xf>
    <xf numFmtId="10" fontId="14" fillId="4" borderId="2" xfId="2" applyNumberFormat="1" applyFont="1" applyFill="1" applyBorder="1" applyAlignment="1" applyProtection="1">
      <alignment horizontal="center" vertical="center" wrapText="1"/>
    </xf>
    <xf numFmtId="0" fontId="0" fillId="0" borderId="0" xfId="0" applyAlignment="1" applyProtection="1">
      <alignment vertical="center"/>
      <protection hidden="1"/>
    </xf>
    <xf numFmtId="0" fontId="2" fillId="2" borderId="1" xfId="0" applyFont="1" applyFill="1" applyBorder="1" applyAlignment="1" applyProtection="1">
      <alignment vertical="center"/>
      <protection hidden="1"/>
    </xf>
    <xf numFmtId="0" fontId="2" fillId="2" borderId="1" xfId="0" applyFont="1" applyFill="1" applyBorder="1" applyAlignment="1" applyProtection="1">
      <alignment horizontal="center" vertical="center" wrapText="1"/>
      <protection hidden="1"/>
    </xf>
    <xf numFmtId="164" fontId="0" fillId="0" borderId="1" xfId="0" applyNumberFormat="1" applyBorder="1" applyAlignment="1" applyProtection="1">
      <alignment vertical="center"/>
      <protection hidden="1"/>
    </xf>
    <xf numFmtId="0" fontId="0" fillId="0" borderId="1" xfId="0" applyBorder="1" applyAlignment="1" applyProtection="1">
      <alignment horizontal="center" vertical="center"/>
      <protection hidden="1"/>
    </xf>
    <xf numFmtId="10" fontId="0" fillId="0" borderId="1" xfId="2" applyNumberFormat="1" applyFont="1" applyBorder="1" applyAlignment="1" applyProtection="1">
      <alignment horizontal="center" vertical="center"/>
      <protection hidden="1"/>
    </xf>
    <xf numFmtId="0" fontId="2" fillId="2" borderId="1" xfId="0" applyFont="1" applyFill="1" applyBorder="1" applyAlignment="1" applyProtection="1">
      <alignment horizontal="center" vertical="center"/>
      <protection hidden="1"/>
    </xf>
    <xf numFmtId="164" fontId="0" fillId="0" borderId="1" xfId="1" applyFont="1" applyBorder="1" applyAlignment="1" applyProtection="1">
      <alignment vertical="center"/>
      <protection hidden="1"/>
    </xf>
    <xf numFmtId="0" fontId="2" fillId="3" borderId="0" xfId="0" applyFont="1" applyFill="1" applyAlignment="1" applyProtection="1">
      <alignment vertical="center"/>
      <protection hidden="1"/>
    </xf>
    <xf numFmtId="164" fontId="2" fillId="3" borderId="0" xfId="0" applyNumberFormat="1" applyFont="1" applyFill="1" applyAlignment="1" applyProtection="1">
      <alignment vertical="center"/>
      <protection hidden="1"/>
    </xf>
    <xf numFmtId="164" fontId="2" fillId="3" borderId="0" xfId="1" applyFont="1" applyFill="1" applyAlignment="1" applyProtection="1">
      <alignment vertical="center"/>
      <protection hidden="1"/>
    </xf>
    <xf numFmtId="0" fontId="3" fillId="0" borderId="0" xfId="0" applyFont="1" applyAlignment="1" applyProtection="1">
      <alignment vertical="center" wrapText="1"/>
      <protection hidden="1"/>
    </xf>
    <xf numFmtId="164" fontId="3" fillId="0" borderId="1" xfId="1" applyFont="1" applyFill="1" applyBorder="1" applyAlignment="1" applyProtection="1">
      <alignment vertical="center" wrapText="1"/>
      <protection hidden="1"/>
    </xf>
    <xf numFmtId="0" fontId="3" fillId="0" borderId="0" xfId="0" applyFont="1" applyAlignment="1" applyProtection="1">
      <alignment vertical="center"/>
      <protection hidden="1"/>
    </xf>
    <xf numFmtId="164" fontId="3" fillId="0" borderId="0" xfId="1" applyFont="1" applyFill="1" applyBorder="1" applyAlignment="1" applyProtection="1">
      <alignment vertical="center" wrapText="1"/>
      <protection hidden="1"/>
    </xf>
    <xf numFmtId="10" fontId="3" fillId="0" borderId="1" xfId="2" applyNumberFormat="1" applyFont="1" applyFill="1" applyBorder="1" applyAlignment="1" applyProtection="1">
      <alignment horizontal="center" vertical="center"/>
      <protection hidden="1"/>
    </xf>
    <xf numFmtId="0" fontId="4" fillId="0" borderId="0" xfId="0" applyFont="1" applyAlignment="1" applyProtection="1">
      <alignment vertical="center"/>
      <protection hidden="1"/>
    </xf>
    <xf numFmtId="0" fontId="4" fillId="0" borderId="0" xfId="0" applyFont="1" applyAlignment="1" applyProtection="1">
      <alignment horizontal="center" vertical="center"/>
      <protection hidden="1"/>
    </xf>
    <xf numFmtId="0" fontId="3" fillId="0" borderId="1" xfId="0" applyFont="1" applyBorder="1" applyAlignment="1" applyProtection="1">
      <alignment vertical="center"/>
      <protection hidden="1"/>
    </xf>
    <xf numFmtId="0" fontId="5" fillId="0" borderId="0" xfId="0" applyFont="1" applyAlignment="1" applyProtection="1">
      <alignment vertical="center"/>
      <protection hidden="1"/>
    </xf>
    <xf numFmtId="3" fontId="17" fillId="5" borderId="4" xfId="0" applyNumberFormat="1" applyFont="1" applyFill="1" applyBorder="1" applyAlignment="1" applyProtection="1">
      <alignment horizontal="center" vertical="center"/>
      <protection locked="0"/>
    </xf>
    <xf numFmtId="4" fontId="17" fillId="5" borderId="4" xfId="0" applyNumberFormat="1" applyFont="1" applyFill="1" applyBorder="1" applyAlignment="1" applyProtection="1">
      <alignment horizontal="center" vertical="center"/>
      <protection locked="0"/>
    </xf>
    <xf numFmtId="0" fontId="3" fillId="0" borderId="1" xfId="0" applyFont="1" applyBorder="1" applyAlignment="1">
      <alignment horizontal="center" vertical="center"/>
    </xf>
    <xf numFmtId="0" fontId="4" fillId="0" borderId="0" xfId="0" applyFont="1" applyAlignment="1">
      <alignment horizontal="center" vertical="center"/>
    </xf>
    <xf numFmtId="10" fontId="3" fillId="0" borderId="1" xfId="0" applyNumberFormat="1" applyFont="1" applyBorder="1" applyAlignment="1">
      <alignment vertical="center"/>
    </xf>
    <xf numFmtId="10" fontId="3" fillId="0" borderId="1" xfId="2" applyNumberFormat="1" applyFont="1" applyFill="1" applyBorder="1" applyAlignment="1" applyProtection="1">
      <alignment horizontal="center" vertical="center"/>
    </xf>
    <xf numFmtId="0" fontId="3" fillId="0" borderId="0" xfId="0" applyFont="1" applyAlignment="1">
      <alignment vertical="center"/>
    </xf>
    <xf numFmtId="10" fontId="3" fillId="0" borderId="0" xfId="0" applyNumberFormat="1" applyFont="1" applyAlignment="1">
      <alignment vertical="center"/>
    </xf>
    <xf numFmtId="10" fontId="20" fillId="0" borderId="0" xfId="0" applyNumberFormat="1" applyFont="1" applyAlignment="1">
      <alignment horizontal="center" vertical="center"/>
    </xf>
    <xf numFmtId="9" fontId="3" fillId="0" borderId="1" xfId="0" applyNumberFormat="1" applyFont="1" applyBorder="1" applyAlignment="1" applyProtection="1">
      <alignment horizontal="center" vertical="center"/>
      <protection hidden="1"/>
    </xf>
    <xf numFmtId="0" fontId="4" fillId="0" borderId="0" xfId="0" applyFont="1" applyAlignment="1">
      <alignment vertical="center"/>
    </xf>
    <xf numFmtId="0" fontId="3" fillId="0" borderId="0" xfId="0" applyFont="1" applyAlignment="1">
      <alignment horizontal="center" vertical="center"/>
    </xf>
    <xf numFmtId="0" fontId="3" fillId="6" borderId="0" xfId="0" applyFont="1" applyFill="1" applyAlignment="1" applyProtection="1">
      <alignment vertical="center"/>
      <protection hidden="1"/>
    </xf>
    <xf numFmtId="10" fontId="14" fillId="0" borderId="0" xfId="2" applyNumberFormat="1" applyFont="1" applyFill="1" applyBorder="1" applyAlignment="1" applyProtection="1">
      <alignment horizontal="center" vertical="center" wrapText="1"/>
    </xf>
    <xf numFmtId="164" fontId="5" fillId="0" borderId="0" xfId="1" applyFont="1" applyFill="1" applyBorder="1" applyAlignment="1" applyProtection="1">
      <alignment horizontal="center" vertical="center" wrapText="1"/>
    </xf>
    <xf numFmtId="3" fontId="16" fillId="5" borderId="4" xfId="0" applyNumberFormat="1" applyFont="1" applyFill="1" applyBorder="1" applyAlignment="1" applyProtection="1">
      <alignment horizontal="center" vertical="center"/>
      <protection locked="0"/>
    </xf>
    <xf numFmtId="10" fontId="14" fillId="0" borderId="8" xfId="2" applyNumberFormat="1" applyFont="1" applyFill="1" applyBorder="1" applyAlignment="1" applyProtection="1">
      <alignment horizontal="center" vertical="center" wrapText="1"/>
    </xf>
    <xf numFmtId="164" fontId="13" fillId="0" borderId="8" xfId="1" applyFont="1" applyFill="1" applyBorder="1" applyAlignment="1" applyProtection="1">
      <alignment horizontal="center" vertical="center" wrapText="1"/>
    </xf>
    <xf numFmtId="10" fontId="24" fillId="0" borderId="0" xfId="2" applyNumberFormat="1" applyFont="1" applyFill="1" applyBorder="1" applyAlignment="1" applyProtection="1">
      <alignment horizontal="center" vertical="center" wrapText="1"/>
    </xf>
    <xf numFmtId="0" fontId="0" fillId="0" borderId="0" xfId="0" applyAlignment="1">
      <alignment horizontal="right"/>
    </xf>
    <xf numFmtId="0" fontId="0" fillId="0" borderId="0" xfId="0" applyAlignment="1">
      <alignment horizontal="center"/>
    </xf>
    <xf numFmtId="10" fontId="0" fillId="0" borderId="0" xfId="0" applyNumberFormat="1" applyAlignment="1">
      <alignment horizontal="right"/>
    </xf>
    <xf numFmtId="10" fontId="0" fillId="0" borderId="0" xfId="2" applyNumberFormat="1" applyFont="1" applyAlignment="1">
      <alignment horizontal="right"/>
    </xf>
    <xf numFmtId="14" fontId="0" fillId="0" borderId="0" xfId="2" applyNumberFormat="1" applyFont="1" applyAlignment="1">
      <alignment horizontal="right"/>
    </xf>
    <xf numFmtId="4" fontId="0" fillId="0" borderId="0" xfId="0" applyNumberFormat="1" applyAlignment="1">
      <alignment horizontal="right"/>
    </xf>
    <xf numFmtId="2" fontId="0" fillId="0" borderId="0" xfId="0" applyNumberFormat="1" applyAlignment="1">
      <alignment horizontal="right"/>
    </xf>
    <xf numFmtId="9" fontId="3" fillId="0" borderId="0" xfId="0" applyNumberFormat="1" applyFont="1" applyAlignment="1" applyProtection="1">
      <alignment vertical="center"/>
      <protection hidden="1"/>
    </xf>
    <xf numFmtId="0" fontId="16" fillId="0" borderId="4" xfId="0" applyFont="1" applyBorder="1" applyAlignment="1">
      <alignment horizontal="center" vertical="center" wrapText="1"/>
    </xf>
    <xf numFmtId="0" fontId="3" fillId="0" borderId="0" xfId="0" applyFont="1" applyAlignment="1">
      <alignment vertical="center" wrapText="1"/>
    </xf>
    <xf numFmtId="0" fontId="8" fillId="0" borderId="2" xfId="0" applyFont="1" applyBorder="1" applyAlignment="1">
      <alignment horizontal="right" vertical="center" wrapText="1"/>
    </xf>
    <xf numFmtId="0" fontId="8" fillId="0" borderId="0" xfId="0" applyFont="1" applyAlignment="1">
      <alignment vertical="center"/>
    </xf>
    <xf numFmtId="0" fontId="11" fillId="0" borderId="0" xfId="0" applyFont="1" applyAlignment="1">
      <alignment vertical="center" wrapText="1"/>
    </xf>
    <xf numFmtId="3" fontId="16" fillId="5" borderId="4" xfId="0" applyNumberFormat="1" applyFont="1" applyFill="1" applyBorder="1" applyAlignment="1">
      <alignment horizontal="center" vertical="center"/>
    </xf>
    <xf numFmtId="0" fontId="20" fillId="0" borderId="0" xfId="0" quotePrefix="1" applyFont="1" applyAlignment="1">
      <alignment vertical="center"/>
    </xf>
    <xf numFmtId="0" fontId="8" fillId="0" borderId="0" xfId="0" applyFont="1" applyAlignment="1">
      <alignment vertical="center" wrapText="1"/>
    </xf>
    <xf numFmtId="0" fontId="6" fillId="0" borderId="0" xfId="0" applyFont="1" applyAlignment="1">
      <alignment horizontal="center" vertical="center" wrapText="1"/>
    </xf>
    <xf numFmtId="0" fontId="4" fillId="0" borderId="4" xfId="0" applyFont="1" applyBorder="1" applyAlignment="1">
      <alignment vertical="center" wrapText="1"/>
    </xf>
    <xf numFmtId="4" fontId="17" fillId="5" borderId="4" xfId="0" applyNumberFormat="1" applyFont="1" applyFill="1" applyBorder="1" applyAlignment="1">
      <alignment horizontal="center" vertical="center"/>
    </xf>
    <xf numFmtId="0" fontId="5" fillId="0" borderId="0" xfId="0" applyFont="1" applyAlignment="1">
      <alignment horizontal="right" vertical="center" wrapText="1"/>
    </xf>
    <xf numFmtId="0" fontId="4" fillId="0" borderId="0" xfId="0" applyFont="1" applyAlignment="1">
      <alignment vertical="center" wrapText="1"/>
    </xf>
    <xf numFmtId="0" fontId="4" fillId="0" borderId="0" xfId="0" applyFont="1" applyAlignment="1">
      <alignment horizontal="center" vertical="center" wrapText="1"/>
    </xf>
    <xf numFmtId="0" fontId="5" fillId="0" borderId="0" xfId="0" applyFont="1" applyAlignment="1">
      <alignment horizontal="right" vertical="center"/>
    </xf>
    <xf numFmtId="0" fontId="11" fillId="2" borderId="0" xfId="0" applyFont="1" applyFill="1" applyAlignment="1">
      <alignment horizontal="center" vertical="center"/>
    </xf>
    <xf numFmtId="0" fontId="11" fillId="2" borderId="0" xfId="0" applyFont="1" applyFill="1" applyAlignment="1">
      <alignment horizontal="left" vertical="center"/>
    </xf>
    <xf numFmtId="0" fontId="8" fillId="0" borderId="4" xfId="0" applyFont="1" applyBorder="1" applyAlignment="1">
      <alignment vertical="center" wrapText="1"/>
    </xf>
    <xf numFmtId="3" fontId="17" fillId="5" borderId="4" xfId="0" applyNumberFormat="1" applyFont="1" applyFill="1" applyBorder="1" applyAlignment="1">
      <alignment horizontal="center" vertical="center"/>
    </xf>
    <xf numFmtId="0" fontId="14" fillId="0" borderId="0" xfId="0" applyFont="1" applyAlignment="1">
      <alignment vertical="center" wrapText="1"/>
    </xf>
    <xf numFmtId="0" fontId="4" fillId="4" borderId="2" xfId="0" applyFont="1" applyFill="1" applyBorder="1" applyAlignment="1">
      <alignment vertical="center" wrapText="1"/>
    </xf>
    <xf numFmtId="166" fontId="4" fillId="4" borderId="2" xfId="0" applyNumberFormat="1" applyFont="1" applyFill="1" applyBorder="1" applyAlignment="1">
      <alignment horizontal="center" vertical="center" wrapText="1"/>
    </xf>
    <xf numFmtId="164" fontId="4" fillId="4" borderId="2" xfId="0" applyNumberFormat="1" applyFont="1" applyFill="1" applyBorder="1" applyAlignment="1">
      <alignment horizontal="center" vertical="center" wrapText="1"/>
    </xf>
    <xf numFmtId="164" fontId="4" fillId="0" borderId="0" xfId="0" applyNumberFormat="1" applyFont="1" applyAlignment="1">
      <alignment horizontal="center" vertical="center" wrapText="1"/>
    </xf>
    <xf numFmtId="0" fontId="3" fillId="0" borderId="7" xfId="0" applyFont="1" applyBorder="1" applyAlignment="1">
      <alignment vertical="center"/>
    </xf>
    <xf numFmtId="164" fontId="4" fillId="0" borderId="7" xfId="0" applyNumberFormat="1" applyFont="1" applyBorder="1" applyAlignment="1">
      <alignment horizontal="center" vertical="center" wrapText="1"/>
    </xf>
    <xf numFmtId="0" fontId="3" fillId="0" borderId="7" xfId="0" applyFont="1" applyBorder="1" applyAlignment="1">
      <alignment vertical="center" wrapText="1"/>
    </xf>
    <xf numFmtId="4" fontId="25" fillId="5" borderId="7" xfId="0" applyNumberFormat="1" applyFont="1" applyFill="1" applyBorder="1" applyAlignment="1">
      <alignment horizontal="center" vertical="center"/>
    </xf>
    <xf numFmtId="0" fontId="4" fillId="0" borderId="8" xfId="0" applyFont="1" applyBorder="1" applyAlignment="1">
      <alignment vertical="center"/>
    </xf>
    <xf numFmtId="164" fontId="4" fillId="0" borderId="8" xfId="0" applyNumberFormat="1" applyFont="1" applyBorder="1" applyAlignment="1">
      <alignment horizontal="center" vertical="center" wrapText="1"/>
    </xf>
    <xf numFmtId="0" fontId="26" fillId="0" borderId="0" xfId="0" applyFont="1" applyAlignment="1">
      <alignment vertical="center"/>
    </xf>
    <xf numFmtId="0" fontId="18" fillId="0" borderId="0" xfId="0" applyFont="1" applyAlignment="1">
      <alignment vertical="center" wrapText="1"/>
    </xf>
    <xf numFmtId="0" fontId="19" fillId="0" borderId="0" xfId="0" applyFont="1" applyAlignment="1">
      <alignment vertical="center"/>
    </xf>
    <xf numFmtId="0" fontId="18" fillId="0" borderId="0" xfId="0" applyFont="1" applyAlignment="1">
      <alignment vertical="center"/>
    </xf>
    <xf numFmtId="0" fontId="6" fillId="0" borderId="0" xfId="0" applyFont="1" applyAlignment="1">
      <alignment horizontal="right" vertical="center" wrapText="1"/>
    </xf>
    <xf numFmtId="0" fontId="10" fillId="0" borderId="0" xfId="0" applyFont="1" applyAlignment="1">
      <alignment horizontal="center" vertical="center" wrapText="1"/>
    </xf>
    <xf numFmtId="0" fontId="12" fillId="0" borderId="0" xfId="0" applyFont="1" applyAlignment="1">
      <alignment horizontal="center" vertical="center" wrapText="1"/>
    </xf>
    <xf numFmtId="0" fontId="11" fillId="2" borderId="0" xfId="0" applyFont="1" applyFill="1" applyAlignment="1">
      <alignment vertical="center"/>
    </xf>
    <xf numFmtId="0" fontId="5" fillId="0" borderId="0" xfId="0" applyFont="1" applyAlignment="1">
      <alignment vertical="center" wrapText="1"/>
    </xf>
    <xf numFmtId="0" fontId="5" fillId="0" borderId="0" xfId="0" applyFont="1" applyAlignment="1">
      <alignment horizontal="center" vertical="center" wrapText="1"/>
    </xf>
    <xf numFmtId="10" fontId="4" fillId="0" borderId="0" xfId="0" applyNumberFormat="1" applyFont="1" applyAlignment="1">
      <alignment horizontal="center" vertical="center" wrapText="1"/>
    </xf>
    <xf numFmtId="14" fontId="11" fillId="2" borderId="0" xfId="0" applyNumberFormat="1" applyFont="1" applyFill="1" applyAlignment="1">
      <alignment horizontal="left" vertical="center"/>
    </xf>
    <xf numFmtId="0" fontId="13" fillId="0" borderId="0" xfId="0" applyFont="1" applyAlignment="1">
      <alignment vertical="center" wrapText="1"/>
    </xf>
    <xf numFmtId="10" fontId="3" fillId="0" borderId="0" xfId="0" applyNumberFormat="1" applyFont="1" applyAlignment="1">
      <alignment horizontal="center" vertical="center" wrapText="1"/>
    </xf>
    <xf numFmtId="0" fontId="9" fillId="0" borderId="0" xfId="0" applyFont="1" applyAlignment="1">
      <alignment vertical="center"/>
    </xf>
    <xf numFmtId="10" fontId="24" fillId="0" borderId="0" xfId="0" applyNumberFormat="1" applyFont="1" applyAlignment="1">
      <alignment horizontal="center" vertical="center" wrapText="1"/>
    </xf>
    <xf numFmtId="0" fontId="10" fillId="0" borderId="0" xfId="0" applyFont="1" applyAlignment="1">
      <alignment vertical="center"/>
    </xf>
    <xf numFmtId="14" fontId="23" fillId="0" borderId="5" xfId="0" applyNumberFormat="1" applyFont="1" applyBorder="1" applyAlignment="1">
      <alignment vertical="center"/>
    </xf>
    <xf numFmtId="0" fontId="10" fillId="0" borderId="0" xfId="0" applyFont="1" applyAlignment="1">
      <alignment horizontal="right" vertical="center"/>
    </xf>
    <xf numFmtId="10" fontId="22" fillId="0" borderId="6" xfId="2" applyNumberFormat="1" applyFont="1" applyBorder="1" applyAlignment="1" applyProtection="1">
      <alignment horizontal="center" vertical="center" wrapText="1"/>
    </xf>
    <xf numFmtId="164" fontId="7" fillId="0" borderId="0" xfId="0" applyNumberFormat="1" applyFont="1" applyAlignment="1">
      <alignment vertical="center" wrapText="1"/>
    </xf>
    <xf numFmtId="0" fontId="7" fillId="0" borderId="0" xfId="0" applyFont="1" applyAlignment="1">
      <alignment vertical="center" wrapText="1"/>
    </xf>
    <xf numFmtId="0" fontId="4" fillId="0" borderId="0" xfId="0" applyFont="1" applyAlignment="1">
      <alignment horizontal="left" vertical="center"/>
    </xf>
    <xf numFmtId="0" fontId="11" fillId="0" borderId="1" xfId="0" applyFont="1" applyBorder="1" applyAlignment="1">
      <alignment horizontal="center" vertical="center"/>
    </xf>
    <xf numFmtId="0" fontId="4" fillId="0" borderId="1" xfId="0" applyFont="1" applyBorder="1" applyAlignment="1">
      <alignment horizontal="center" vertical="center" wrapText="1"/>
    </xf>
    <xf numFmtId="0" fontId="6" fillId="0" borderId="1" xfId="0" applyFont="1" applyBorder="1" applyAlignment="1">
      <alignment horizontal="center" vertical="center" wrapText="1"/>
    </xf>
    <xf numFmtId="0" fontId="8" fillId="0" borderId="0" xfId="0" applyFont="1" applyAlignment="1">
      <alignment horizontal="center" vertical="center"/>
    </xf>
    <xf numFmtId="164" fontId="3" fillId="0" borderId="0" xfId="0" applyNumberFormat="1" applyFont="1" applyAlignment="1">
      <alignment vertical="center" wrapText="1"/>
    </xf>
    <xf numFmtId="165" fontId="6" fillId="0" borderId="0" xfId="0" applyNumberFormat="1" applyFont="1" applyAlignment="1">
      <alignment vertical="center" wrapText="1"/>
    </xf>
    <xf numFmtId="0" fontId="11" fillId="0" borderId="1" xfId="0" applyFont="1" applyBorder="1" applyAlignment="1">
      <alignment horizontal="right" vertical="center"/>
    </xf>
    <xf numFmtId="164" fontId="4" fillId="0" borderId="1" xfId="0" applyNumberFormat="1" applyFont="1" applyBorder="1" applyAlignment="1">
      <alignment vertical="center" wrapText="1"/>
    </xf>
    <xf numFmtId="0" fontId="6" fillId="0" borderId="0" xfId="0" applyFont="1" applyAlignment="1">
      <alignment vertical="center" wrapText="1"/>
    </xf>
    <xf numFmtId="166" fontId="4" fillId="4" borderId="2" xfId="0" applyNumberFormat="1" applyFont="1" applyFill="1" applyBorder="1" applyAlignment="1" applyProtection="1">
      <alignment horizontal="center" vertical="center" wrapText="1"/>
      <protection hidden="1"/>
    </xf>
    <xf numFmtId="10" fontId="14" fillId="4" borderId="2" xfId="2" applyNumberFormat="1" applyFont="1" applyFill="1" applyBorder="1" applyAlignment="1" applyProtection="1">
      <alignment horizontal="center" vertical="center" wrapText="1"/>
      <protection hidden="1"/>
    </xf>
    <xf numFmtId="164" fontId="4" fillId="4" borderId="2" xfId="0" applyNumberFormat="1" applyFont="1" applyFill="1" applyBorder="1" applyAlignment="1" applyProtection="1">
      <alignment horizontal="center" vertical="center" wrapText="1"/>
      <protection hidden="1"/>
    </xf>
    <xf numFmtId="164" fontId="13" fillId="0" borderId="8" xfId="1" applyFont="1" applyFill="1" applyBorder="1" applyAlignment="1" applyProtection="1">
      <alignment horizontal="center" vertical="center" wrapText="1"/>
      <protection hidden="1"/>
    </xf>
    <xf numFmtId="0" fontId="8" fillId="0" borderId="0" xfId="0" applyFont="1" applyAlignment="1" applyProtection="1">
      <alignment horizontal="center" vertical="center" wrapText="1"/>
      <protection hidden="1"/>
    </xf>
    <xf numFmtId="0" fontId="11" fillId="0" borderId="3" xfId="0" applyFont="1" applyBorder="1" applyAlignment="1">
      <alignment horizontal="center" vertical="center"/>
    </xf>
    <xf numFmtId="0" fontId="15" fillId="5" borderId="2" xfId="0" applyFont="1" applyFill="1" applyBorder="1" applyAlignment="1" applyProtection="1">
      <alignment horizontal="left" vertical="center"/>
      <protection locked="0"/>
    </xf>
    <xf numFmtId="14" fontId="15" fillId="5" borderId="2" xfId="0" applyNumberFormat="1" applyFont="1" applyFill="1" applyBorder="1" applyAlignment="1" applyProtection="1">
      <alignment horizontal="left" vertical="center"/>
      <protection locked="0"/>
    </xf>
    <xf numFmtId="0" fontId="15" fillId="5" borderId="2" xfId="0" applyFont="1" applyFill="1" applyBorder="1" applyAlignment="1">
      <alignment horizontal="left" vertical="center"/>
    </xf>
    <xf numFmtId="0" fontId="10" fillId="0" borderId="0" xfId="0" applyFont="1" applyAlignment="1">
      <alignment horizontal="left" vertical="center" wrapText="1"/>
    </xf>
    <xf numFmtId="0" fontId="2" fillId="3" borderId="0" xfId="0" applyFont="1" applyFill="1" applyAlignment="1" applyProtection="1">
      <alignment horizontal="center" vertical="center"/>
      <protection hidden="1"/>
    </xf>
    <xf numFmtId="0" fontId="4" fillId="0" borderId="0" xfId="0" applyFont="1" applyAlignment="1" applyProtection="1">
      <alignment horizontal="center" vertical="center"/>
      <protection hidden="1"/>
    </xf>
    <xf numFmtId="0" fontId="3" fillId="0" borderId="0" xfId="0" applyFont="1" applyAlignment="1" applyProtection="1">
      <alignment horizontal="center" vertical="center" wrapText="1"/>
      <protection hidden="1"/>
    </xf>
    <xf numFmtId="4" fontId="25" fillId="5" borderId="7" xfId="0" applyNumberFormat="1" applyFont="1" applyFill="1" applyBorder="1" applyAlignment="1" applyProtection="1">
      <alignment horizontal="center" vertical="center"/>
      <protection locked="0"/>
    </xf>
    <xf numFmtId="0" fontId="27" fillId="0" borderId="0" xfId="0" applyFont="1" applyAlignment="1">
      <alignment horizontal="justify" vertical="center"/>
    </xf>
    <xf numFmtId="0" fontId="28" fillId="0" borderId="11" xfId="0" applyFont="1" applyBorder="1" applyAlignment="1">
      <alignment horizontal="left" vertical="center" wrapText="1"/>
    </xf>
    <xf numFmtId="0" fontId="28" fillId="0" borderId="3" xfId="0" applyFont="1" applyBorder="1" applyAlignment="1">
      <alignment horizontal="left" vertical="center" wrapText="1"/>
    </xf>
    <xf numFmtId="0" fontId="28" fillId="0" borderId="12" xfId="0" applyFont="1" applyBorder="1" applyAlignment="1">
      <alignment horizontal="left" vertical="center" wrapText="1"/>
    </xf>
    <xf numFmtId="0" fontId="28" fillId="0" borderId="9" xfId="0" applyFont="1" applyBorder="1" applyAlignment="1">
      <alignment horizontal="center" vertical="center"/>
    </xf>
    <xf numFmtId="0" fontId="28" fillId="0" borderId="7" xfId="0" applyFont="1" applyBorder="1" applyAlignment="1">
      <alignment horizontal="center" vertical="center"/>
    </xf>
    <xf numFmtId="0" fontId="28" fillId="0" borderId="10" xfId="0" applyFont="1" applyBorder="1" applyAlignment="1">
      <alignment horizontal="center" vertical="center"/>
    </xf>
  </cellXfs>
  <cellStyles count="3">
    <cellStyle name="Normale" xfId="0" builtinId="0"/>
    <cellStyle name="Percentuale" xfId="2" builtinId="5"/>
    <cellStyle name="Valuta" xfId="1" builtinId="4"/>
  </cellStyles>
  <dxfs count="25">
    <dxf>
      <fill>
        <patternFill>
          <bgColor rgb="FFFFFF00"/>
        </patternFill>
      </fill>
    </dxf>
    <dxf>
      <fill>
        <patternFill patternType="none">
          <bgColor indexed="65"/>
        </patternFill>
      </fill>
    </dxf>
    <dxf>
      <font>
        <b/>
        <i/>
        <strike val="0"/>
        <color rgb="FF006600"/>
      </font>
    </dxf>
    <dxf>
      <font>
        <b/>
        <i/>
        <strike val="0"/>
        <color rgb="FFCC3300"/>
      </font>
    </dxf>
    <dxf>
      <font>
        <color rgb="FF9C0006"/>
      </font>
      <fill>
        <patternFill>
          <bgColor rgb="FFFFC7CE"/>
        </patternFill>
      </fill>
    </dxf>
    <dxf>
      <font>
        <color rgb="FF9C0006"/>
      </font>
      <fill>
        <patternFill>
          <bgColor rgb="FFFFC7CE"/>
        </patternFill>
      </fill>
    </dxf>
    <dxf>
      <font>
        <b/>
        <i/>
        <strike val="0"/>
        <color rgb="FF006600"/>
      </font>
    </dxf>
    <dxf>
      <font>
        <b/>
        <i/>
        <strike val="0"/>
        <color rgb="FFCC3300"/>
      </font>
    </dxf>
    <dxf>
      <fill>
        <patternFill>
          <bgColor rgb="FFFFFF00"/>
        </patternFill>
      </fill>
    </dxf>
    <dxf>
      <fill>
        <patternFill patternType="none">
          <bgColor indexed="65"/>
        </patternFill>
      </fill>
    </dxf>
    <dxf>
      <fill>
        <patternFill patternType="none">
          <bgColor indexed="65"/>
        </patternFill>
      </fill>
    </dxf>
    <dxf>
      <fill>
        <patternFill patternType="none">
          <bgColor indexed="65"/>
        </patternFill>
      </fill>
    </dxf>
    <dxf>
      <fill>
        <patternFill>
          <bgColor rgb="FFFFFF00"/>
        </patternFill>
      </fill>
    </dxf>
    <dxf>
      <fill>
        <patternFill patternType="none">
          <bgColor indexed="65"/>
        </patternFill>
      </fill>
    </dxf>
    <dxf>
      <fill>
        <patternFill patternType="none">
          <bgColor indexed="65"/>
        </patternFill>
      </fill>
    </dxf>
    <dxf>
      <font>
        <b/>
        <i/>
        <strike val="0"/>
        <color rgb="FF006600"/>
      </font>
    </dxf>
    <dxf>
      <font>
        <b/>
        <i/>
        <strike val="0"/>
        <color rgb="FFCC3300"/>
      </font>
    </dxf>
    <dxf>
      <font>
        <color rgb="FF9C0006"/>
      </font>
      <fill>
        <patternFill>
          <bgColor rgb="FFFFC7CE"/>
        </patternFill>
      </fill>
    </dxf>
    <dxf>
      <font>
        <color rgb="FF9C0006"/>
      </font>
      <fill>
        <patternFill>
          <bgColor rgb="FFFFC7CE"/>
        </patternFill>
      </fill>
    </dxf>
    <dxf>
      <font>
        <b/>
        <i/>
        <strike val="0"/>
        <color rgb="FF006600"/>
      </font>
    </dxf>
    <dxf>
      <font>
        <b/>
        <i/>
        <strike val="0"/>
        <color rgb="FFCC3300"/>
      </font>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s>
  <tableStyles count="0" defaultTableStyle="TableStyleMedium2" defaultPivotStyle="PivotStyleLight16"/>
  <colors>
    <mruColors>
      <color rgb="FF000099"/>
      <color rgb="FFCC3300"/>
      <color rgb="FF00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D8A2D259-09A8-4752-A7F3-DC928210DF7A}" name="Tabella1" displayName="Tabella1" ref="A1:B29" totalsRowShown="0">
  <autoFilter ref="A1:B29" xr:uid="{D8A2D259-09A8-4752-A7F3-DC928210DF7A}"/>
  <tableColumns count="2">
    <tableColumn id="1" xr3:uid="{59D047E1-AA64-4BE3-838F-F2CA6DE49622}" name="DESCRIZIONE"/>
    <tableColumn id="2" xr3:uid="{B5B36784-6284-4D04-AA13-20F729CE497F}" name="VALORI"/>
  </tableColumns>
  <tableStyleInfo name="TableStyleMedium2"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2A63B9-F977-40E6-9F3D-7C91CAE11957}">
  <sheetPr>
    <pageSetUpPr fitToPage="1"/>
  </sheetPr>
  <dimension ref="A1:J49"/>
  <sheetViews>
    <sheetView showGridLines="0" tabSelected="1" topLeftCell="B1" zoomScaleNormal="100" zoomScaleSheetLayoutView="100" workbookViewId="0">
      <selection activeCell="C2" sqref="C2:G2"/>
    </sheetView>
  </sheetViews>
  <sheetFormatPr defaultColWidth="0" defaultRowHeight="15.5" zeroHeight="1" x14ac:dyDescent="0.35"/>
  <cols>
    <col min="1" max="1" width="13.26953125" style="57" hidden="1" customWidth="1"/>
    <col min="2" max="2" width="25.81640625" style="59" customWidth="1"/>
    <col min="3" max="3" width="32" style="57" customWidth="1"/>
    <col min="4" max="4" width="20" style="57" customWidth="1"/>
    <col min="5" max="5" width="21.26953125" style="57" customWidth="1"/>
    <col min="6" max="6" width="13.54296875" style="57" customWidth="1"/>
    <col min="7" max="8" width="9.1796875" style="57" customWidth="1"/>
    <col min="9" max="9" width="10.26953125" style="57" customWidth="1"/>
    <col min="10" max="10" width="9.1796875" style="57" customWidth="1"/>
    <col min="11" max="16384" width="9.1796875" style="57" hidden="1"/>
  </cols>
  <sheetData>
    <row r="1" spans="2:10" ht="27" customHeight="1" x14ac:dyDescent="0.35">
      <c r="B1" s="123" t="s">
        <v>92</v>
      </c>
      <c r="C1" s="123"/>
      <c r="D1" s="123"/>
      <c r="E1" s="123"/>
      <c r="F1" s="123"/>
      <c r="G1" s="123"/>
    </row>
    <row r="2" spans="2:10" x14ac:dyDescent="0.35">
      <c r="B2" s="58" t="s">
        <v>52</v>
      </c>
      <c r="C2" s="124"/>
      <c r="D2" s="124"/>
      <c r="E2" s="124"/>
      <c r="F2" s="124"/>
      <c r="G2" s="124"/>
    </row>
    <row r="3" spans="2:10" x14ac:dyDescent="0.35">
      <c r="B3" s="58" t="s">
        <v>85</v>
      </c>
      <c r="C3" s="125"/>
      <c r="D3" s="125"/>
      <c r="E3" s="125"/>
      <c r="F3" s="125"/>
      <c r="G3" s="125"/>
    </row>
    <row r="4" spans="2:10" x14ac:dyDescent="0.35"/>
    <row r="5" spans="2:10" x14ac:dyDescent="0.35">
      <c r="C5" s="60" t="s">
        <v>86</v>
      </c>
      <c r="D5" s="44">
        <v>6</v>
      </c>
      <c r="F5" s="62" t="s">
        <v>88</v>
      </c>
    </row>
    <row r="6" spans="2:10" ht="30" customHeight="1" x14ac:dyDescent="0.35">
      <c r="C6" s="60"/>
      <c r="D6" s="122" t="str">
        <f>IF(D5&gt;7,"NON AMMISSIBILE","POTENZIALMENTE AMMISSIBILE")</f>
        <v>POTENZIALMENTE AMMISSIBILE</v>
      </c>
      <c r="F6" s="62"/>
    </row>
    <row r="7" spans="2:10" x14ac:dyDescent="0.35">
      <c r="C7" s="63"/>
    </row>
    <row r="8" spans="2:10" ht="20" x14ac:dyDescent="0.35">
      <c r="B8" s="64"/>
      <c r="C8" s="65" t="s">
        <v>89</v>
      </c>
      <c r="D8" s="30"/>
      <c r="E8" s="2"/>
      <c r="F8" s="62" t="s">
        <v>87</v>
      </c>
    </row>
    <row r="9" spans="2:10" x14ac:dyDescent="0.35">
      <c r="B9" s="57"/>
      <c r="C9" s="67"/>
      <c r="D9" s="3"/>
      <c r="E9" s="3"/>
    </row>
    <row r="10" spans="2:10" ht="32.25" customHeight="1" x14ac:dyDescent="0.35">
      <c r="B10" s="57"/>
      <c r="C10" s="68"/>
      <c r="D10" s="69"/>
      <c r="E10" s="1" t="s">
        <v>54</v>
      </c>
      <c r="F10" s="1"/>
    </row>
    <row r="11" spans="2:10" ht="20" x14ac:dyDescent="0.35">
      <c r="B11" s="57"/>
      <c r="C11" s="65" t="s">
        <v>93</v>
      </c>
      <c r="D11" s="30"/>
      <c r="E11" s="6">
        <f>IFERROR(D11/D8,0)</f>
        <v>0</v>
      </c>
      <c r="F11" s="62" t="s">
        <v>90</v>
      </c>
      <c r="J11" s="62"/>
    </row>
    <row r="12" spans="2:10" ht="20" x14ac:dyDescent="0.35">
      <c r="B12" s="57"/>
      <c r="C12" s="65" t="s">
        <v>94</v>
      </c>
      <c r="D12" s="30"/>
      <c r="E12" s="6">
        <f>IFERROR(D12/D8,0)</f>
        <v>0</v>
      </c>
      <c r="F12" s="62" t="s">
        <v>91</v>
      </c>
      <c r="J12" s="62"/>
    </row>
    <row r="13" spans="2:10" ht="20" x14ac:dyDescent="0.35">
      <c r="B13" s="57"/>
      <c r="C13" s="65" t="s">
        <v>95</v>
      </c>
      <c r="D13" s="30"/>
      <c r="E13" s="6">
        <f>IFERROR(D13/D8,0)</f>
        <v>0</v>
      </c>
      <c r="F13" s="6"/>
      <c r="J13" s="62"/>
    </row>
    <row r="14" spans="2:10" x14ac:dyDescent="0.35">
      <c r="B14" s="57"/>
      <c r="C14" s="70"/>
      <c r="D14" s="5"/>
    </row>
    <row r="15" spans="2:10" x14ac:dyDescent="0.35">
      <c r="B15" s="57"/>
      <c r="C15" s="68"/>
      <c r="D15" s="4"/>
    </row>
    <row r="16" spans="2:10" x14ac:dyDescent="0.35">
      <c r="B16" s="71" t="s">
        <v>29</v>
      </c>
      <c r="C16" s="72"/>
      <c r="D16" s="4"/>
    </row>
    <row r="17" spans="2:10" x14ac:dyDescent="0.35">
      <c r="B17" s="57"/>
      <c r="C17" s="68"/>
      <c r="D17" s="4"/>
    </row>
    <row r="18" spans="2:10" ht="34.5" customHeight="1" x14ac:dyDescent="0.35">
      <c r="B18" s="57"/>
      <c r="C18" s="73" t="s">
        <v>41</v>
      </c>
      <c r="D18" s="29"/>
      <c r="F18" s="62" t="s">
        <v>96</v>
      </c>
    </row>
    <row r="19" spans="2:10" ht="20" x14ac:dyDescent="0.35">
      <c r="C19" s="73" t="s">
        <v>36</v>
      </c>
      <c r="D19" s="29"/>
      <c r="E19" s="75" t="s">
        <v>70</v>
      </c>
      <c r="F19" s="62" t="s">
        <v>97</v>
      </c>
    </row>
    <row r="20" spans="2:10" x14ac:dyDescent="0.35"/>
    <row r="21" spans="2:10" x14ac:dyDescent="0.35">
      <c r="B21" s="72" t="s">
        <v>20</v>
      </c>
      <c r="C21" s="72"/>
      <c r="D21" s="68"/>
    </row>
    <row r="22" spans="2:10" x14ac:dyDescent="0.35">
      <c r="C22" s="68"/>
      <c r="D22" s="68"/>
    </row>
    <row r="23" spans="2:10" x14ac:dyDescent="0.35">
      <c r="B23" s="76" t="s">
        <v>73</v>
      </c>
      <c r="C23" s="118">
        <f>IF($D$5&gt;7,0,ESL!C45)</f>
        <v>0</v>
      </c>
      <c r="D23" s="119" t="str">
        <f>IFERROR(ESL!D45,"")</f>
        <v/>
      </c>
      <c r="E23" s="7"/>
    </row>
    <row r="24" spans="2:10" x14ac:dyDescent="0.35">
      <c r="B24" s="76" t="s">
        <v>76</v>
      </c>
      <c r="C24" s="120">
        <f>IF($D$5&gt;7,0,ESL!C46)</f>
        <v>0</v>
      </c>
      <c r="D24" s="8"/>
      <c r="E24" s="7"/>
    </row>
    <row r="25" spans="2:10" x14ac:dyDescent="0.35">
      <c r="B25" s="68"/>
      <c r="C25" s="79"/>
      <c r="D25" s="42"/>
      <c r="E25" s="43"/>
    </row>
    <row r="26" spans="2:10" x14ac:dyDescent="0.35">
      <c r="B26" s="80" t="s">
        <v>78</v>
      </c>
      <c r="C26" s="81"/>
      <c r="D26" s="82"/>
      <c r="E26" s="131"/>
    </row>
    <row r="27" spans="2:10" x14ac:dyDescent="0.35">
      <c r="B27" s="84" t="s">
        <v>77</v>
      </c>
      <c r="C27" s="85"/>
      <c r="D27" s="45"/>
      <c r="E27" s="121">
        <f>E26+C23+C24</f>
        <v>0</v>
      </c>
      <c r="F27" s="86" t="str">
        <f>IF(E27&gt;300000,"Superato limite dei 300k€","-")</f>
        <v>-</v>
      </c>
    </row>
    <row r="28" spans="2:10" x14ac:dyDescent="0.35">
      <c r="B28" s="68"/>
      <c r="C28" s="79"/>
      <c r="D28" s="42"/>
      <c r="E28" s="43"/>
    </row>
    <row r="29" spans="2:10" x14ac:dyDescent="0.35">
      <c r="B29" s="136" t="s">
        <v>98</v>
      </c>
      <c r="C29" s="137"/>
      <c r="D29" s="137"/>
      <c r="E29" s="137"/>
      <c r="F29" s="137"/>
      <c r="G29" s="137"/>
      <c r="H29" s="137"/>
      <c r="I29" s="137"/>
      <c r="J29" s="138"/>
    </row>
    <row r="30" spans="2:10" ht="120" customHeight="1" x14ac:dyDescent="0.35">
      <c r="B30" s="133" t="s">
        <v>99</v>
      </c>
      <c r="C30" s="134"/>
      <c r="D30" s="134"/>
      <c r="E30" s="134"/>
      <c r="F30" s="134"/>
      <c r="G30" s="134"/>
      <c r="H30" s="134"/>
      <c r="I30" s="134"/>
      <c r="J30" s="135"/>
    </row>
    <row r="31" spans="2:10" x14ac:dyDescent="0.35">
      <c r="B31" s="132"/>
    </row>
    <row r="32" spans="2:10" hidden="1" x14ac:dyDescent="0.35">
      <c r="B32" s="132"/>
    </row>
    <row r="43" spans="1:1" hidden="1" x14ac:dyDescent="0.35">
      <c r="A43" s="87"/>
    </row>
    <row r="44" spans="1:1" hidden="1" x14ac:dyDescent="0.35">
      <c r="A44" s="88" t="s">
        <v>42</v>
      </c>
    </row>
    <row r="45" spans="1:1" hidden="1" x14ac:dyDescent="0.35">
      <c r="A45" s="89" t="s">
        <v>43</v>
      </c>
    </row>
    <row r="46" spans="1:1" hidden="1" x14ac:dyDescent="0.35">
      <c r="A46" s="89" t="s">
        <v>45</v>
      </c>
    </row>
    <row r="47" spans="1:1" hidden="1" x14ac:dyDescent="0.35">
      <c r="A47" s="89" t="s">
        <v>46</v>
      </c>
    </row>
    <row r="48" spans="1:1" hidden="1" x14ac:dyDescent="0.35">
      <c r="A48" s="89"/>
    </row>
    <row r="49" spans="1:1" hidden="1" x14ac:dyDescent="0.35">
      <c r="A49" s="87"/>
    </row>
  </sheetData>
  <sheetProtection algorithmName="SHA-512" hashValue="da/jUvW7442YNZQLh8+uuFPwZM4Sw1Mq2UD3moNLgvGcuqlGgo6k0pLRpSk3cZClFBNu4fQ2EwfFJPXdktS5ug==" saltValue="OnHmk+idiIv4fi5EaGEbAg==" spinCount="100000" sheet="1" objects="1" scenarios="1"/>
  <mergeCells count="5">
    <mergeCell ref="B1:G1"/>
    <mergeCell ref="C2:G2"/>
    <mergeCell ref="C3:G3"/>
    <mergeCell ref="B29:J29"/>
    <mergeCell ref="B30:J30"/>
  </mergeCells>
  <conditionalFormatting sqref="C2:C3 D11:D13">
    <cfRule type="expression" dxfId="24" priority="8">
      <formula>LEN(TRIM(C2))&gt;0</formula>
    </cfRule>
  </conditionalFormatting>
  <conditionalFormatting sqref="D5">
    <cfRule type="expression" dxfId="23" priority="9">
      <formula>LEN(TRIM(D5))&gt;0</formula>
    </cfRule>
  </conditionalFormatting>
  <conditionalFormatting sqref="D8">
    <cfRule type="expression" dxfId="22" priority="7">
      <formula>LEN(TRIM(D8))&gt;0</formula>
    </cfRule>
  </conditionalFormatting>
  <conditionalFormatting sqref="D18:D19">
    <cfRule type="expression" dxfId="21" priority="10">
      <formula>LEN(TRIM(D18))&gt;0</formula>
    </cfRule>
  </conditionalFormatting>
  <conditionalFormatting sqref="D9:E9 E27:E28">
    <cfRule type="containsText" dxfId="20" priority="13" operator="containsText" text="Err">
      <formula>NOT(ISERROR(SEARCH("Err",D9)))</formula>
    </cfRule>
    <cfRule type="containsText" dxfId="19" priority="14" operator="containsText" text="Ok">
      <formula>NOT(ISERROR(SEARCH("Ok",D9)))</formula>
    </cfRule>
  </conditionalFormatting>
  <conditionalFormatting sqref="E11">
    <cfRule type="cellIs" dxfId="18" priority="3" operator="greaterThan">
      <formula>0.65</formula>
    </cfRule>
  </conditionalFormatting>
  <conditionalFormatting sqref="E12">
    <cfRule type="cellIs" dxfId="17" priority="2" operator="greaterThan">
      <formula>0.2</formula>
    </cfRule>
  </conditionalFormatting>
  <conditionalFormatting sqref="E23:E25">
    <cfRule type="containsText" dxfId="16" priority="11" operator="containsText" text="Err">
      <formula>NOT(ISERROR(SEARCH("Err",E23)))</formula>
    </cfRule>
    <cfRule type="containsText" dxfId="15" priority="12" operator="containsText" text="Ok">
      <formula>NOT(ISERROR(SEARCH("Ok",E23)))</formula>
    </cfRule>
  </conditionalFormatting>
  <conditionalFormatting sqref="E26">
    <cfRule type="expression" dxfId="14" priority="4">
      <formula>LEN(TRIM(E26))&gt;0</formula>
    </cfRule>
  </conditionalFormatting>
  <dataValidations count="7">
    <dataValidation operator="lessThanOrEqual" showErrorMessage="1" errorTitle="Finanziamento incoerente" sqref="D13" xr:uid="{43D222A9-F692-48F0-BC8B-48CD26B30A4B}"/>
    <dataValidation allowBlank="1" showInputMessage="1" showErrorMessage="1" error="Le spese ammissibili devono essere comprese tra 40.000 e 500.000" sqref="E26" xr:uid="{2AF38B01-F69A-4270-9B15-3594ECD3C01D}"/>
    <dataValidation type="decimal" allowBlank="1" showInputMessage="1" showErrorMessage="1" error="Le spese ammissibili devono essere comprese tra 30.000 e 600.000" sqref="D8" xr:uid="{DB40AA1B-97B1-4721-A745-1B05ED557A7C}">
      <formula1>30000</formula1>
      <formula2>600000</formula2>
    </dataValidation>
    <dataValidation type="whole" allowBlank="1" showInputMessage="1" showErrorMessage="1" error="Il numero di rate di preammortamento deve essere compreso tra 0 e 4 (corrispondenti ad una durata tra 0 e 24 mesi)" sqref="D19" xr:uid="{FFA451F4-D977-4D7F-B5E3-8C17032B550D}">
      <formula1>0</formula1>
      <formula2>4</formula2>
    </dataValidation>
    <dataValidation type="decimal" allowBlank="1" showInputMessage="1" showErrorMessage="1" error="Durata max 6 anni" sqref="D18" xr:uid="{70E73AE3-14D2-4DA4-BAC7-A2F7122E9AAE}">
      <formula1>3</formula1>
      <formula2>6</formula2>
    </dataValidation>
    <dataValidation type="decimal" showErrorMessage="1" errorTitle="Finanziamento incoerente" error="Il finanziamento può essere compreso tra 19.500 e 390.000 euro" sqref="D11" xr:uid="{B5C9B9E9-291D-457E-9EF7-15F6C0F58D85}">
      <formula1>19500</formula1>
      <formula2>390000</formula2>
    </dataValidation>
    <dataValidation type="decimal" showErrorMessage="1" errorTitle="Finanziamento incoerente" error="Il contributo può essere compreso tra 6.000 e 120.000 euro" sqref="D12" xr:uid="{390B58E6-46A4-49EC-9E24-085B666D4EA4}">
      <formula1>19500</formula1>
      <formula2>390000</formula2>
    </dataValidation>
  </dataValidations>
  <pageMargins left="0.70866141732283472" right="0.70866141732283472" top="0.74803149606299213" bottom="0.74803149606299213" header="0.31496062992125984" footer="0.31496062992125984"/>
  <pageSetup paperSize="9" scale="74" orientation="landscape" r:id="rId1"/>
  <extLst>
    <ext xmlns:x14="http://schemas.microsoft.com/office/spreadsheetml/2009/9/main" uri="{CCE6A557-97BC-4b89-ADB6-D9C93CAAB3DF}">
      <x14:dataValidations xmlns:xm="http://schemas.microsoft.com/office/excel/2006/main" count="1">
        <x14:dataValidation type="list" showInputMessage="1" showErrorMessage="1" errorTitle="VALORE NON AMMESSO" xr:uid="{286718FC-385D-4116-BC39-96CC7A6D6FBD}">
          <x14:formula1>
            <xm:f>Configurazione!$C$43:$C$55</xm:f>
          </x14:formula1>
          <xm:sqref>D5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oglio1">
    <outlinePr summaryBelow="0" summaryRight="0"/>
    <pageSetUpPr fitToPage="1"/>
  </sheetPr>
  <dimension ref="A1:J100"/>
  <sheetViews>
    <sheetView showGridLines="0" zoomScale="85" zoomScaleNormal="85" workbookViewId="0">
      <selection sqref="A1:XFD1048576"/>
    </sheetView>
  </sheetViews>
  <sheetFormatPr defaultColWidth="9.1796875" defaultRowHeight="15.5" x14ac:dyDescent="0.35"/>
  <cols>
    <col min="1" max="1" width="13.26953125" style="57" customWidth="1"/>
    <col min="2" max="2" width="25.81640625" style="59" customWidth="1"/>
    <col min="3" max="3" width="32" style="57" customWidth="1"/>
    <col min="4" max="4" width="20" style="57" customWidth="1"/>
    <col min="5" max="5" width="21.26953125" style="57" customWidth="1"/>
    <col min="6" max="6" width="13.54296875" style="57" customWidth="1"/>
    <col min="7" max="8" width="9.1796875" style="57"/>
    <col min="9" max="9" width="10.26953125" style="57" customWidth="1"/>
    <col min="10" max="16384" width="9.1796875" style="57"/>
  </cols>
  <sheetData>
    <row r="1" spans="2:10" ht="27" customHeight="1" x14ac:dyDescent="0.35">
      <c r="B1" s="123" t="s">
        <v>84</v>
      </c>
      <c r="C1" s="123"/>
      <c r="D1" s="123"/>
      <c r="E1" s="123"/>
      <c r="F1" s="123"/>
      <c r="G1" s="123"/>
    </row>
    <row r="2" spans="2:10" x14ac:dyDescent="0.35">
      <c r="B2" s="58" t="s">
        <v>52</v>
      </c>
      <c r="C2" s="126"/>
      <c r="D2" s="126"/>
      <c r="E2" s="126"/>
      <c r="F2" s="126"/>
      <c r="G2" s="126"/>
    </row>
    <row r="3" spans="2:10" x14ac:dyDescent="0.35">
      <c r="B3" s="58" t="s">
        <v>44</v>
      </c>
      <c r="C3" s="126"/>
      <c r="D3" s="126"/>
      <c r="E3" s="126"/>
      <c r="F3" s="126"/>
      <c r="G3" s="126"/>
    </row>
    <row r="5" spans="2:10" x14ac:dyDescent="0.35">
      <c r="B5" s="72" t="s">
        <v>34</v>
      </c>
      <c r="C5" s="72"/>
    </row>
    <row r="7" spans="2:10" ht="31" customHeight="1" x14ac:dyDescent="0.35">
      <c r="C7" s="63" t="s">
        <v>47</v>
      </c>
      <c r="D7" s="56" t="s">
        <v>69</v>
      </c>
    </row>
    <row r="8" spans="2:10" ht="28" x14ac:dyDescent="0.35">
      <c r="C8" s="60" t="str">
        <f>IF(OR(D7=Configurazione!$C$39,D7=""),"-",
IF($D$7=Configurazione!$C$40,"Classe di valutazione finale",
IF($D$7=Configurazione!$C$41,"Punteggio Credit Scoring per start-up",
"-")))</f>
        <v>Classe di valutazione finale</v>
      </c>
      <c r="D8" s="61">
        <f>PROSPETTO!$D$5</f>
        <v>6</v>
      </c>
    </row>
    <row r="9" spans="2:10" x14ac:dyDescent="0.35">
      <c r="C9" s="90" t="s">
        <v>39</v>
      </c>
      <c r="D9" s="91" t="str">
        <f>IF(OR($D$7="SELEZIONA",$D$7="",$D$8=""),"n/d",
IF($D$7=Configurazione!$C$40,VLOOKUP($D$8,Configurazione!$D$21:$F$30,2,FALSE),
IF($D$7=Configurazione!$C$41,IF($D$8&gt;=Configurazione!$C$34,Configurazione!$E$34,IF($D$8&gt;=Configurazione!$C$35,Configurazione!$E$35,IF($D$8&gt;=Configurazione!$C$36,Configurazione!$E$36,IF($D$8&gt;=Configurazione!$C$37,Configurazione!$E$37,"n/d")))),
"-")))</f>
        <v>Good (BBB)</v>
      </c>
    </row>
    <row r="10" spans="2:10" x14ac:dyDescent="0.35">
      <c r="C10" s="63"/>
      <c r="D10" s="6"/>
      <c r="E10" s="92"/>
    </row>
    <row r="11" spans="2:10" x14ac:dyDescent="0.35">
      <c r="C11" s="63"/>
    </row>
    <row r="12" spans="2:10" ht="20" x14ac:dyDescent="0.35">
      <c r="B12" s="64"/>
      <c r="C12" s="65" t="s">
        <v>53</v>
      </c>
      <c r="D12" s="66">
        <f>PROSPETTO!$D$8</f>
        <v>0</v>
      </c>
      <c r="E12" s="2"/>
    </row>
    <row r="13" spans="2:10" x14ac:dyDescent="0.35">
      <c r="B13" s="57"/>
      <c r="C13" s="67"/>
      <c r="D13" s="3"/>
      <c r="E13" s="3"/>
    </row>
    <row r="14" spans="2:10" x14ac:dyDescent="0.35">
      <c r="B14" s="72" t="s">
        <v>74</v>
      </c>
      <c r="C14" s="93"/>
      <c r="D14" s="4"/>
    </row>
    <row r="15" spans="2:10" ht="32.25" customHeight="1" x14ac:dyDescent="0.35">
      <c r="B15" s="57"/>
      <c r="C15" s="68"/>
      <c r="D15" s="69"/>
      <c r="E15" s="1" t="s">
        <v>54</v>
      </c>
      <c r="F15" s="1"/>
    </row>
    <row r="16" spans="2:10" ht="31" x14ac:dyDescent="0.35">
      <c r="B16" s="57"/>
      <c r="C16" s="65" t="s">
        <v>50</v>
      </c>
      <c r="D16" s="66">
        <f>PROSPETTO!$D$11</f>
        <v>0</v>
      </c>
      <c r="E16" s="6">
        <f>IFERROR(D16/D12,0)</f>
        <v>0</v>
      </c>
      <c r="F16" s="6"/>
      <c r="J16" s="62"/>
    </row>
    <row r="17" spans="2:10" ht="31" x14ac:dyDescent="0.35">
      <c r="B17" s="57"/>
      <c r="C17" s="65" t="s">
        <v>75</v>
      </c>
      <c r="D17" s="66">
        <f>PROSPETTO!$D$12</f>
        <v>0</v>
      </c>
      <c r="E17" s="6">
        <f>IFERROR(D17/D12,0)</f>
        <v>0</v>
      </c>
      <c r="F17" s="6"/>
      <c r="J17" s="62"/>
    </row>
    <row r="18" spans="2:10" ht="20" x14ac:dyDescent="0.35">
      <c r="B18" s="57"/>
      <c r="C18" s="65"/>
      <c r="D18" s="66"/>
      <c r="E18" s="6"/>
      <c r="F18" s="6"/>
      <c r="J18" s="62"/>
    </row>
    <row r="19" spans="2:10" x14ac:dyDescent="0.35">
      <c r="B19" s="57"/>
      <c r="C19" s="70"/>
      <c r="D19" s="5"/>
    </row>
    <row r="20" spans="2:10" x14ac:dyDescent="0.35">
      <c r="B20" s="57"/>
      <c r="C20" s="68"/>
      <c r="D20" s="4"/>
    </row>
    <row r="21" spans="2:10" x14ac:dyDescent="0.35">
      <c r="B21" s="71" t="s">
        <v>29</v>
      </c>
      <c r="C21" s="72"/>
      <c r="D21" s="4"/>
    </row>
    <row r="22" spans="2:10" x14ac:dyDescent="0.35">
      <c r="B22" s="57"/>
      <c r="C22" s="68"/>
      <c r="D22" s="4"/>
    </row>
    <row r="23" spans="2:10" ht="34.5" customHeight="1" x14ac:dyDescent="0.35">
      <c r="B23" s="57"/>
      <c r="C23" s="73" t="s">
        <v>41</v>
      </c>
      <c r="D23" s="74">
        <f>PROSPETTO!$D$18</f>
        <v>0</v>
      </c>
    </row>
    <row r="24" spans="2:10" ht="20" x14ac:dyDescent="0.35">
      <c r="C24" s="73" t="s">
        <v>36</v>
      </c>
      <c r="D24" s="74">
        <f>PROSPETTO!$D$19</f>
        <v>0</v>
      </c>
      <c r="E24" s="75" t="s">
        <v>70</v>
      </c>
    </row>
    <row r="25" spans="2:10" x14ac:dyDescent="0.35">
      <c r="C25" s="68" t="s">
        <v>11</v>
      </c>
      <c r="D25" s="69">
        <f>+D23*D27</f>
        <v>0</v>
      </c>
    </row>
    <row r="26" spans="2:10" x14ac:dyDescent="0.35">
      <c r="C26" s="68" t="s">
        <v>14</v>
      </c>
      <c r="D26" s="69">
        <f>+D25-D24</f>
        <v>0</v>
      </c>
    </row>
    <row r="27" spans="2:10" x14ac:dyDescent="0.35">
      <c r="B27" s="57"/>
      <c r="C27" s="94" t="s">
        <v>10</v>
      </c>
      <c r="D27" s="95">
        <v>2</v>
      </c>
    </row>
    <row r="28" spans="2:10" x14ac:dyDescent="0.35">
      <c r="B28" s="57"/>
    </row>
    <row r="29" spans="2:10" x14ac:dyDescent="0.35">
      <c r="B29" s="71" t="s">
        <v>30</v>
      </c>
      <c r="C29" s="72"/>
    </row>
    <row r="30" spans="2:10" x14ac:dyDescent="0.35">
      <c r="B30" s="57"/>
    </row>
    <row r="31" spans="2:10" ht="31" x14ac:dyDescent="0.35">
      <c r="C31" s="68" t="s">
        <v>2</v>
      </c>
      <c r="D31" s="96">
        <v>1.4999999999999999E-2</v>
      </c>
    </row>
    <row r="32" spans="2:10" x14ac:dyDescent="0.35">
      <c r="D32" s="96"/>
    </row>
    <row r="33" spans="2:10" x14ac:dyDescent="0.35">
      <c r="B33" s="57"/>
    </row>
    <row r="34" spans="2:10" x14ac:dyDescent="0.35">
      <c r="B34" s="71" t="s">
        <v>31</v>
      </c>
      <c r="C34" s="97"/>
      <c r="E34"/>
      <c r="F34"/>
      <c r="G34"/>
    </row>
    <row r="35" spans="2:10" x14ac:dyDescent="0.35">
      <c r="B35" s="57"/>
    </row>
    <row r="36" spans="2:10" ht="37.5" customHeight="1" x14ac:dyDescent="0.35">
      <c r="B36" s="95"/>
      <c r="C36" s="98" t="s">
        <v>79</v>
      </c>
      <c r="D36" s="47">
        <f>I41</f>
        <v>2.2100000000000002E-2</v>
      </c>
      <c r="E36" s="127" t="s">
        <v>68</v>
      </c>
      <c r="F36" s="127"/>
      <c r="G36" s="127"/>
      <c r="H36" s="127"/>
      <c r="I36" s="127"/>
      <c r="J36" s="59"/>
    </row>
    <row r="37" spans="2:10" ht="32.25" customHeight="1" x14ac:dyDescent="0.35">
      <c r="B37" s="57"/>
      <c r="C37" s="63" t="s">
        <v>0</v>
      </c>
      <c r="D37" s="99">
        <f>IF(OR($D$7="SELEZIONA",$D$7="",$D$8=""),"n/d",
IF($D$7=Configurazione!$C$40,VLOOKUP($D$8,Configurazione!$D$21:$F$30,3,FALSE),
IF($D$7=Configurazione!$C$41,IF($D$8&gt;=Configurazione!$C$34,Configurazione!$F$34,IF($D$8&gt;=Configurazione!$C$35,Configurazione!$F$35,IF($D$8&gt;=Configurazione!$C$36,Configurazione!$F$36,IF($D$8&gt;=Configurazione!$C$37,Configurazione!$F$37,"n/d")))),
"-")))</f>
        <v>2.1999999999999999E-2</v>
      </c>
      <c r="E37" s="127"/>
      <c r="F37" s="127"/>
      <c r="G37" s="127"/>
      <c r="H37" s="127"/>
      <c r="I37" s="127"/>
      <c r="J37" s="100"/>
    </row>
    <row r="38" spans="2:10" x14ac:dyDescent="0.35">
      <c r="C38" s="68" t="s">
        <v>1</v>
      </c>
      <c r="D38" s="96">
        <f>IF(OR($D$37="n/d",$D$37="-"),"n/d",SUM(D36:D37))</f>
        <v>4.41E-2</v>
      </c>
    </row>
    <row r="40" spans="2:10" x14ac:dyDescent="0.35">
      <c r="C40" s="68" t="s">
        <v>18</v>
      </c>
      <c r="D40" s="101">
        <f>1%+I41</f>
        <v>3.2100000000000004E-2</v>
      </c>
      <c r="E40" s="102" t="s">
        <v>71</v>
      </c>
      <c r="F40" s="102"/>
      <c r="G40" s="102"/>
      <c r="H40" s="102"/>
      <c r="I40" s="103">
        <v>45839</v>
      </c>
    </row>
    <row r="41" spans="2:10" x14ac:dyDescent="0.35">
      <c r="C41" s="68"/>
      <c r="E41" s="102"/>
      <c r="H41" s="104" t="s">
        <v>80</v>
      </c>
      <c r="I41" s="105">
        <v>2.2100000000000002E-2</v>
      </c>
    </row>
    <row r="43" spans="2:10" x14ac:dyDescent="0.35">
      <c r="B43" s="72" t="s">
        <v>20</v>
      </c>
      <c r="C43" s="72"/>
      <c r="D43" s="68"/>
    </row>
    <row r="44" spans="2:10" x14ac:dyDescent="0.35">
      <c r="C44" s="68"/>
      <c r="D44" s="68"/>
    </row>
    <row r="45" spans="2:10" x14ac:dyDescent="0.35">
      <c r="B45" s="76" t="s">
        <v>73</v>
      </c>
      <c r="C45" s="77">
        <f>$D$74</f>
        <v>0</v>
      </c>
      <c r="D45" s="8" t="e">
        <f>+C45/D12</f>
        <v>#DIV/0!</v>
      </c>
      <c r="E45" s="7"/>
    </row>
    <row r="46" spans="2:10" x14ac:dyDescent="0.35">
      <c r="B46" s="76" t="s">
        <v>76</v>
      </c>
      <c r="C46" s="78">
        <f>SUM(D17:D18)</f>
        <v>0</v>
      </c>
      <c r="D46" s="8"/>
      <c r="E46" s="7"/>
    </row>
    <row r="47" spans="2:10" x14ac:dyDescent="0.35">
      <c r="B47" s="68"/>
      <c r="C47" s="79"/>
      <c r="D47" s="42"/>
      <c r="E47" s="43"/>
    </row>
    <row r="48" spans="2:10" x14ac:dyDescent="0.35">
      <c r="B48" s="80" t="s">
        <v>78</v>
      </c>
      <c r="C48" s="81"/>
      <c r="D48" s="82"/>
      <c r="E48" s="83"/>
    </row>
    <row r="49" spans="2:6" x14ac:dyDescent="0.35">
      <c r="B49" s="84" t="s">
        <v>77</v>
      </c>
      <c r="C49" s="85"/>
      <c r="D49" s="45"/>
      <c r="E49" s="46">
        <f>E48+C45+C46</f>
        <v>0</v>
      </c>
      <c r="F49" s="86" t="str">
        <f>IF(E49&gt;300000,"Superato limite dei 300k€","-")</f>
        <v>-</v>
      </c>
    </row>
    <row r="50" spans="2:6" x14ac:dyDescent="0.35">
      <c r="B50" s="68"/>
      <c r="C50" s="79"/>
      <c r="D50" s="42"/>
      <c r="E50" s="43"/>
    </row>
    <row r="51" spans="2:6" x14ac:dyDescent="0.35">
      <c r="B51" s="70"/>
      <c r="C51" s="106"/>
      <c r="D51" s="5"/>
      <c r="E51" s="107"/>
    </row>
    <row r="52" spans="2:6" x14ac:dyDescent="0.35">
      <c r="B52" s="108" t="s">
        <v>21</v>
      </c>
    </row>
    <row r="53" spans="2:6" ht="31" x14ac:dyDescent="0.35">
      <c r="B53" s="109" t="s">
        <v>3</v>
      </c>
      <c r="C53" s="110" t="s">
        <v>16</v>
      </c>
      <c r="D53" s="110" t="s">
        <v>17</v>
      </c>
      <c r="E53" s="111" t="s">
        <v>19</v>
      </c>
    </row>
    <row r="54" spans="2:6" x14ac:dyDescent="0.35">
      <c r="B54" s="112">
        <v>1</v>
      </c>
      <c r="C54" s="113">
        <f>+'Flussi finanziamento'!J7-'Flussi finanziamento'!D7</f>
        <v>0</v>
      </c>
      <c r="D54" s="113">
        <f>+C54*E54</f>
        <v>0</v>
      </c>
      <c r="E54" s="114">
        <f>1/((1+$D$40/2)^B54)</f>
        <v>0.98420353329068466</v>
      </c>
    </row>
    <row r="55" spans="2:6" x14ac:dyDescent="0.35">
      <c r="B55" s="112">
        <v>2</v>
      </c>
      <c r="C55" s="113">
        <f>+'Flussi finanziamento'!J8-'Flussi finanziamento'!D8</f>
        <v>0</v>
      </c>
      <c r="D55" s="113">
        <f t="shared" ref="D55:D67" si="0">+C55*E55</f>
        <v>0</v>
      </c>
      <c r="E55" s="114">
        <f t="shared" ref="E55:E67" si="1">1/((1+$D$40/2)^B55)</f>
        <v>0.96865659494186762</v>
      </c>
    </row>
    <row r="56" spans="2:6" x14ac:dyDescent="0.35">
      <c r="B56" s="112">
        <v>3</v>
      </c>
      <c r="C56" s="113">
        <f>+'Flussi finanziamento'!J9-'Flussi finanziamento'!D9</f>
        <v>0</v>
      </c>
      <c r="D56" s="113">
        <f t="shared" si="0"/>
        <v>0</v>
      </c>
      <c r="E56" s="114">
        <f t="shared" si="1"/>
        <v>0.95335524328710963</v>
      </c>
    </row>
    <row r="57" spans="2:6" x14ac:dyDescent="0.35">
      <c r="B57" s="112">
        <v>4</v>
      </c>
      <c r="C57" s="113">
        <f>+'Flussi finanziamento'!J10-'Flussi finanziamento'!D10</f>
        <v>0</v>
      </c>
      <c r="D57" s="113">
        <f t="shared" si="0"/>
        <v>0</v>
      </c>
      <c r="E57" s="114">
        <f t="shared" si="1"/>
        <v>0.93829559892437342</v>
      </c>
    </row>
    <row r="58" spans="2:6" x14ac:dyDescent="0.35">
      <c r="B58" s="112">
        <v>5</v>
      </c>
      <c r="C58" s="113">
        <f>+'Flussi finanziamento'!J11-'Flussi finanziamento'!D11</f>
        <v>0</v>
      </c>
      <c r="D58" s="113">
        <f t="shared" si="0"/>
        <v>0</v>
      </c>
      <c r="E58" s="114">
        <f t="shared" si="1"/>
        <v>0.92347384373246755</v>
      </c>
    </row>
    <row r="59" spans="2:6" x14ac:dyDescent="0.35">
      <c r="B59" s="112">
        <v>6</v>
      </c>
      <c r="C59" s="113">
        <f>+'Flussi finanziamento'!J12-'Flussi finanziamento'!D12</f>
        <v>0</v>
      </c>
      <c r="D59" s="113">
        <f t="shared" si="0"/>
        <v>0</v>
      </c>
      <c r="E59" s="114">
        <f t="shared" si="1"/>
        <v>0.90888621990302398</v>
      </c>
    </row>
    <row r="60" spans="2:6" x14ac:dyDescent="0.35">
      <c r="B60" s="112">
        <v>7</v>
      </c>
      <c r="C60" s="113">
        <f>+'Flussi finanziamento'!J13-'Flussi finanziamento'!D13</f>
        <v>0</v>
      </c>
      <c r="D60" s="113">
        <f t="shared" si="0"/>
        <v>0</v>
      </c>
      <c r="E60" s="114">
        <f t="shared" si="1"/>
        <v>0.89452902898777031</v>
      </c>
    </row>
    <row r="61" spans="2:6" x14ac:dyDescent="0.35">
      <c r="B61" s="112">
        <v>8</v>
      </c>
      <c r="C61" s="113">
        <f>+'Flussi finanziamento'!J14-'Flussi finanziamento'!D14</f>
        <v>0</v>
      </c>
      <c r="D61" s="113">
        <f t="shared" si="0"/>
        <v>0</v>
      </c>
      <c r="E61" s="114">
        <f t="shared" si="1"/>
        <v>0.8803986309608488</v>
      </c>
    </row>
    <row r="62" spans="2:6" x14ac:dyDescent="0.35">
      <c r="B62" s="112">
        <v>9</v>
      </c>
      <c r="C62" s="113">
        <f>+'Flussi finanziamento'!J15-'Flussi finanziamento'!D15</f>
        <v>0</v>
      </c>
      <c r="D62" s="113">
        <f t="shared" si="0"/>
        <v>0</v>
      </c>
      <c r="E62" s="114">
        <f t="shared" si="1"/>
        <v>0.86649144329594885</v>
      </c>
    </row>
    <row r="63" spans="2:6" x14ac:dyDescent="0.35">
      <c r="B63" s="112">
        <v>10</v>
      </c>
      <c r="C63" s="113">
        <f>+'Flussi finanziamento'!J16-'Flussi finanziamento'!D16</f>
        <v>0</v>
      </c>
      <c r="D63" s="113">
        <f t="shared" si="0"/>
        <v>0</v>
      </c>
      <c r="E63" s="114">
        <f t="shared" si="1"/>
        <v>0.85280394005801785</v>
      </c>
    </row>
    <row r="64" spans="2:6" x14ac:dyDescent="0.35">
      <c r="B64" s="112">
        <v>11</v>
      </c>
      <c r="C64" s="113">
        <f>+'Flussi finanziamento'!J17-'Flussi finanziamento'!D17</f>
        <v>0</v>
      </c>
      <c r="D64" s="113">
        <f t="shared" si="0"/>
        <v>0</v>
      </c>
      <c r="E64" s="114">
        <f t="shared" si="1"/>
        <v>0.8393326510093182</v>
      </c>
    </row>
    <row r="65" spans="2:5" x14ac:dyDescent="0.35">
      <c r="B65" s="112">
        <v>12</v>
      </c>
      <c r="C65" s="113">
        <f>+'Flussi finanziamento'!J18-'Flussi finanziamento'!D18</f>
        <v>0</v>
      </c>
      <c r="D65" s="113">
        <f t="shared" si="0"/>
        <v>0</v>
      </c>
      <c r="E65" s="114">
        <f t="shared" si="1"/>
        <v>0.82607416072960804</v>
      </c>
    </row>
    <row r="66" spans="2:5" x14ac:dyDescent="0.35">
      <c r="B66" s="112">
        <v>13</v>
      </c>
      <c r="C66" s="113">
        <f>+'Flussi finanziamento'!J19-'Flussi finanziamento'!D19</f>
        <v>0</v>
      </c>
      <c r="D66" s="113">
        <f t="shared" si="0"/>
        <v>0</v>
      </c>
      <c r="E66" s="114">
        <f t="shared" si="1"/>
        <v>0.81302510775021719</v>
      </c>
    </row>
    <row r="67" spans="2:5" x14ac:dyDescent="0.35">
      <c r="B67" s="112">
        <v>14</v>
      </c>
      <c r="C67" s="113">
        <f>+'Flussi finanziamento'!J20-'Flussi finanziamento'!D20</f>
        <v>0</v>
      </c>
      <c r="D67" s="113">
        <f t="shared" si="0"/>
        <v>0</v>
      </c>
      <c r="E67" s="114">
        <f t="shared" si="1"/>
        <v>0.80018218370180316</v>
      </c>
    </row>
    <row r="68" spans="2:5" x14ac:dyDescent="0.35">
      <c r="B68" s="112">
        <v>15</v>
      </c>
      <c r="C68" s="113">
        <f>+'Flussi finanziamento'!J21-'Flussi finanziamento'!D21</f>
        <v>0</v>
      </c>
      <c r="D68" s="113">
        <f t="shared" ref="D68:D73" si="2">+C68*E68</f>
        <v>0</v>
      </c>
      <c r="E68" s="114">
        <f t="shared" ref="E68:E73" si="3">1/((1+$D$40/2)^B68)</f>
        <v>0.78754213247557037</v>
      </c>
    </row>
    <row r="69" spans="2:5" x14ac:dyDescent="0.35">
      <c r="B69" s="112">
        <v>16</v>
      </c>
      <c r="C69" s="113">
        <f>+'Flussi finanziamento'!J22-'Flussi finanziamento'!D22</f>
        <v>0</v>
      </c>
      <c r="D69" s="113">
        <f t="shared" si="2"/>
        <v>0</v>
      </c>
      <c r="E69" s="114">
        <f t="shared" si="3"/>
        <v>0.77510174939773679</v>
      </c>
    </row>
    <row r="70" spans="2:5" x14ac:dyDescent="0.35">
      <c r="B70" s="112">
        <v>17</v>
      </c>
      <c r="C70" s="113">
        <f>+'Flussi finanziamento'!J23-'Flussi finanziamento'!D23</f>
        <v>0</v>
      </c>
      <c r="D70" s="113">
        <f t="shared" si="2"/>
        <v>0</v>
      </c>
      <c r="E70" s="114">
        <f t="shared" si="3"/>
        <v>0.76285788041704328</v>
      </c>
    </row>
    <row r="71" spans="2:5" x14ac:dyDescent="0.35">
      <c r="B71" s="112">
        <v>18</v>
      </c>
      <c r="C71" s="113">
        <f>+'Flussi finanziamento'!J24-'Flussi finanziamento'!D24</f>
        <v>0</v>
      </c>
      <c r="D71" s="113">
        <f t="shared" si="2"/>
        <v>0</v>
      </c>
      <c r="E71" s="114">
        <f t="shared" si="3"/>
        <v>0.75080742130509648</v>
      </c>
    </row>
    <row r="72" spans="2:5" x14ac:dyDescent="0.35">
      <c r="B72" s="112">
        <v>19</v>
      </c>
      <c r="C72" s="113">
        <f>+'Flussi finanziamento'!J25-'Flussi finanziamento'!D25</f>
        <v>0</v>
      </c>
      <c r="D72" s="113">
        <f t="shared" si="2"/>
        <v>0</v>
      </c>
      <c r="E72" s="114">
        <f t="shared" si="3"/>
        <v>0.73894731686934356</v>
      </c>
    </row>
    <row r="73" spans="2:5" x14ac:dyDescent="0.35">
      <c r="B73" s="112">
        <v>20</v>
      </c>
      <c r="C73" s="113">
        <f>+'Flussi finanziamento'!J26-'Flussi finanziamento'!D26</f>
        <v>0</v>
      </c>
      <c r="D73" s="113">
        <f t="shared" si="2"/>
        <v>0</v>
      </c>
      <c r="E73" s="114">
        <f t="shared" si="3"/>
        <v>0.72727456017847913</v>
      </c>
    </row>
    <row r="74" spans="2:5" x14ac:dyDescent="0.35">
      <c r="B74" s="115" t="s">
        <v>15</v>
      </c>
      <c r="C74" s="116">
        <f>+SUM(C54:C73)</f>
        <v>0</v>
      </c>
      <c r="D74" s="116">
        <f>+SUM(D54:D73)</f>
        <v>0</v>
      </c>
      <c r="E74" s="117"/>
    </row>
    <row r="94" spans="1:1" x14ac:dyDescent="0.35">
      <c r="A94" s="87"/>
    </row>
    <row r="95" spans="1:1" x14ac:dyDescent="0.35">
      <c r="A95" s="88" t="s">
        <v>42</v>
      </c>
    </row>
    <row r="96" spans="1:1" x14ac:dyDescent="0.35">
      <c r="A96" s="89" t="s">
        <v>43</v>
      </c>
    </row>
    <row r="97" spans="1:1" x14ac:dyDescent="0.35">
      <c r="A97" s="89" t="s">
        <v>45</v>
      </c>
    </row>
    <row r="98" spans="1:1" x14ac:dyDescent="0.35">
      <c r="A98" s="89" t="s">
        <v>46</v>
      </c>
    </row>
    <row r="99" spans="1:1" x14ac:dyDescent="0.35">
      <c r="A99" s="89"/>
    </row>
    <row r="100" spans="1:1" x14ac:dyDescent="0.35">
      <c r="A100" s="87"/>
    </row>
  </sheetData>
  <sheetProtection algorithmName="SHA-512" hashValue="W8RcuTEzP1fPCSLTIRASdfhJd5QgoIXAYxup/XVenF9RuEMH0Xx4GGReai1AyfdF4WweCKSWoYagkARu+c8SJQ==" saltValue="lypkeImoznu0g0tw7681GA==" spinCount="100000" sheet="1" objects="1" scenarios="1"/>
  <dataConsolidate/>
  <mergeCells count="5">
    <mergeCell ref="B1:G1"/>
    <mergeCell ref="C2:G2"/>
    <mergeCell ref="C3:G3"/>
    <mergeCell ref="E36:I36"/>
    <mergeCell ref="E37:I37"/>
  </mergeCells>
  <conditionalFormatting sqref="C2:C3 D16:D18">
    <cfRule type="expression" dxfId="13" priority="21">
      <formula>LEN(TRIM(C2))&gt;0</formula>
    </cfRule>
  </conditionalFormatting>
  <conditionalFormatting sqref="D7">
    <cfRule type="containsText" dxfId="12" priority="13" operator="containsText" text="SELEZIONA">
      <formula>NOT(ISERROR(SEARCH("SELEZIONA",D7)))</formula>
    </cfRule>
  </conditionalFormatting>
  <conditionalFormatting sqref="D8">
    <cfRule type="expression" dxfId="11" priority="23">
      <formula>LEN(TRIM(D8))&gt;0</formula>
    </cfRule>
  </conditionalFormatting>
  <conditionalFormatting sqref="D12">
    <cfRule type="expression" dxfId="10" priority="19">
      <formula>LEN(TRIM(D12))&gt;0</formula>
    </cfRule>
  </conditionalFormatting>
  <conditionalFormatting sqref="D23:D24">
    <cfRule type="expression" dxfId="9" priority="24">
      <formula>LEN(TRIM(D23))&gt;0</formula>
    </cfRule>
  </conditionalFormatting>
  <conditionalFormatting sqref="D36 D40">
    <cfRule type="containsBlanks" dxfId="8" priority="12">
      <formula>LEN(TRIM(D36))=0</formula>
    </cfRule>
  </conditionalFormatting>
  <conditionalFormatting sqref="D13:E13 E49:E50">
    <cfRule type="containsText" dxfId="7" priority="63" operator="containsText" text="Err">
      <formula>NOT(ISERROR(SEARCH("Err",D13)))</formula>
    </cfRule>
    <cfRule type="containsText" dxfId="6" priority="64" operator="containsText" text="Ok">
      <formula>NOT(ISERROR(SEARCH("Ok",D13)))</formula>
    </cfRule>
  </conditionalFormatting>
  <conditionalFormatting sqref="E16">
    <cfRule type="cellIs" dxfId="5" priority="4" operator="greaterThan">
      <formula>0.65</formula>
    </cfRule>
  </conditionalFormatting>
  <conditionalFormatting sqref="E17:E18">
    <cfRule type="cellIs" dxfId="4" priority="2" operator="greaterThan">
      <formula>0.2</formula>
    </cfRule>
  </conditionalFormatting>
  <conditionalFormatting sqref="E45:E47">
    <cfRule type="containsText" dxfId="3" priority="27" operator="containsText" text="Err">
      <formula>NOT(ISERROR(SEARCH("Err",E45)))</formula>
    </cfRule>
    <cfRule type="containsText" dxfId="2" priority="28" operator="containsText" text="Ok">
      <formula>NOT(ISERROR(SEARCH("Ok",E45)))</formula>
    </cfRule>
  </conditionalFormatting>
  <conditionalFormatting sqref="E48">
    <cfRule type="expression" dxfId="1" priority="8">
      <formula>LEN(TRIM(E48))&gt;0</formula>
    </cfRule>
  </conditionalFormatting>
  <conditionalFormatting sqref="I40:I41">
    <cfRule type="containsBlanks" dxfId="0" priority="1">
      <formula>LEN(TRIM(I40))=0</formula>
    </cfRule>
  </conditionalFormatting>
  <dataValidations count="8">
    <dataValidation showInputMessage="1" showErrorMessage="1" sqref="D10" xr:uid="{00000000-0002-0000-0000-000000000000}"/>
    <dataValidation type="decimal" allowBlank="1" showInputMessage="1" showErrorMessage="1" error="Durata max 6 anni" sqref="D23" xr:uid="{00000000-0002-0000-0000-000001000000}">
      <formula1>3</formula1>
      <formula2>6</formula2>
    </dataValidation>
    <dataValidation type="whole" allowBlank="1" showInputMessage="1" showErrorMessage="1" error="Il numero di rate di preammortamento deve essere compreso tra 0 e 4 (corrispondenti ad una durata tra 0 e 24 mesi)" sqref="D24" xr:uid="{00000000-0002-0000-0000-000002000000}">
      <formula1>0</formula1>
      <formula2>4</formula2>
    </dataValidation>
    <dataValidation type="whole" showInputMessage="1" showErrorMessage="1" errorTitle="VALORE NON AMMESSO" sqref="D8" xr:uid="{00000000-0002-0000-0000-000003000000}">
      <formula1>0</formula1>
      <formula2>7</formula2>
    </dataValidation>
    <dataValidation type="decimal" allowBlank="1" showInputMessage="1" showErrorMessage="1" error="Le spese ammissibili devono essere comprese tra 40.000 e 500.000" sqref="D12" xr:uid="{00000000-0002-0000-0000-000004000000}">
      <formula1>30000</formula1>
      <formula2>600000</formula2>
    </dataValidation>
    <dataValidation allowBlank="1" showInputMessage="1" showErrorMessage="1" error="Le spese ammissibili devono essere comprese tra 40.000 e 500.000" sqref="E48" xr:uid="{00000000-0002-0000-0000-000006000000}"/>
    <dataValidation operator="lessThanOrEqual" showErrorMessage="1" errorTitle="Finanziamento incoerente" sqref="D16:D17" xr:uid="{92DEE63E-C06C-4D30-B200-F5813584BE75}"/>
    <dataValidation type="decimal" operator="lessThanOrEqual" showErrorMessage="1" errorTitle="Finanziamento incoerente" sqref="D18" xr:uid="{83E8A4F9-BD7C-4A2D-B7A0-FBF4DA740F54}">
      <formula1>20000</formula1>
    </dataValidation>
  </dataValidations>
  <pageMargins left="0.23622047244094491" right="0.23622047244094491" top="0.74803149606299213" bottom="0.74803149606299213" header="0.31496062992125984" footer="0.31496062992125984"/>
  <pageSetup paperSize="9" scale="64" orientation="portrait" r:id="rId1"/>
  <headerFooter>
    <oddHeader>&amp;RESL - VERSO NUOVI MERCATI - Sportello 2025_BOZZA</oddHeader>
  </headerFooter>
  <ignoredErrors>
    <ignoredError sqref="D40 D36" unlockedFormula="1"/>
    <ignoredError sqref="C46" formulaRange="1"/>
  </ignoredErrors>
  <extLst>
    <ext xmlns:x14="http://schemas.microsoft.com/office/spreadsheetml/2009/9/main" uri="{CCE6A557-97BC-4b89-ADB6-D9C93CAAB3DF}">
      <x14:dataValidations xmlns:xm="http://schemas.microsoft.com/office/excel/2006/main" count="1">
        <x14:dataValidation type="list" showInputMessage="1" showErrorMessage="1" xr:uid="{00000000-0002-0000-0000-000007000000}">
          <x14:formula1>
            <xm:f>Configurazione!$C$39:$C$41</xm:f>
          </x14:formula1>
          <xm:sqref>D7</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Foglio2">
    <pageSetUpPr fitToPage="1"/>
  </sheetPr>
  <dimension ref="B1:L27"/>
  <sheetViews>
    <sheetView showGridLines="0" topLeftCell="B1" workbookViewId="0">
      <selection sqref="A1:XFD1048576"/>
    </sheetView>
  </sheetViews>
  <sheetFormatPr defaultColWidth="9.1796875" defaultRowHeight="14.5" x14ac:dyDescent="0.35"/>
  <cols>
    <col min="1" max="1" width="9.1796875" style="9"/>
    <col min="2" max="2" width="14.26953125" style="9" bestFit="1" customWidth="1"/>
    <col min="3" max="3" width="19.1796875" style="9" bestFit="1" customWidth="1"/>
    <col min="4" max="5" width="14.7265625" style="9" bestFit="1" customWidth="1"/>
    <col min="6" max="6" width="16" style="9" customWidth="1"/>
    <col min="7" max="7" width="9.1796875" style="9"/>
    <col min="8" max="8" width="14.26953125" style="9" bestFit="1" customWidth="1"/>
    <col min="9" max="9" width="20.7265625" style="9" bestFit="1" customWidth="1"/>
    <col min="10" max="11" width="14.7265625" style="9" bestFit="1" customWidth="1"/>
    <col min="12" max="12" width="16" style="9" customWidth="1"/>
    <col min="13" max="16384" width="9.1796875" style="9"/>
  </cols>
  <sheetData>
    <row r="1" spans="2:12" x14ac:dyDescent="0.35">
      <c r="B1" s="128" t="s">
        <v>32</v>
      </c>
      <c r="C1" s="128"/>
      <c r="D1" s="128"/>
      <c r="E1" s="128"/>
      <c r="F1" s="128"/>
      <c r="H1" s="128" t="s">
        <v>33</v>
      </c>
      <c r="I1" s="128"/>
      <c r="J1" s="128"/>
      <c r="K1" s="128"/>
      <c r="L1" s="128"/>
    </row>
    <row r="3" spans="2:12" ht="29" x14ac:dyDescent="0.35">
      <c r="B3" s="10" t="s">
        <v>8</v>
      </c>
      <c r="C3" s="11" t="s">
        <v>13</v>
      </c>
      <c r="D3" s="10" t="s">
        <v>9</v>
      </c>
      <c r="E3" s="10" t="s">
        <v>12</v>
      </c>
      <c r="H3" s="10" t="s">
        <v>8</v>
      </c>
      <c r="I3" s="11" t="s">
        <v>13</v>
      </c>
      <c r="J3" s="10" t="s">
        <v>9</v>
      </c>
      <c r="K3" s="10" t="s">
        <v>12</v>
      </c>
    </row>
    <row r="4" spans="2:12" x14ac:dyDescent="0.35">
      <c r="B4" s="12">
        <f>ESL!$D$16</f>
        <v>0</v>
      </c>
      <c r="C4" s="13">
        <f>+ESL!D24</f>
        <v>0</v>
      </c>
      <c r="D4" s="13">
        <f>+ESL!D25</f>
        <v>0</v>
      </c>
      <c r="E4" s="14">
        <f>+ESL!D31</f>
        <v>1.4999999999999999E-2</v>
      </c>
      <c r="H4" s="12">
        <f>+$B$4</f>
        <v>0</v>
      </c>
      <c r="I4" s="13">
        <f>+ESL!D24</f>
        <v>0</v>
      </c>
      <c r="J4" s="13">
        <f>+ESL!D25</f>
        <v>0</v>
      </c>
      <c r="K4" s="14">
        <f>+ESL!D38</f>
        <v>4.41E-2</v>
      </c>
    </row>
    <row r="6" spans="2:12" x14ac:dyDescent="0.35">
      <c r="B6" s="15" t="s">
        <v>3</v>
      </c>
      <c r="C6" s="15" t="s">
        <v>4</v>
      </c>
      <c r="D6" s="15" t="s">
        <v>5</v>
      </c>
      <c r="E6" s="15" t="s">
        <v>6</v>
      </c>
      <c r="F6" s="15" t="s">
        <v>7</v>
      </c>
      <c r="H6" s="15" t="s">
        <v>3</v>
      </c>
      <c r="I6" s="15" t="s">
        <v>4</v>
      </c>
      <c r="J6" s="15" t="s">
        <v>5</v>
      </c>
      <c r="K6" s="15" t="s">
        <v>6</v>
      </c>
      <c r="L6" s="15" t="s">
        <v>7</v>
      </c>
    </row>
    <row r="7" spans="2:12" x14ac:dyDescent="0.35">
      <c r="B7" s="13">
        <v>1</v>
      </c>
      <c r="C7" s="16">
        <f>+B4</f>
        <v>0</v>
      </c>
      <c r="D7" s="16">
        <f>+IF(B7&gt;$D$4,0,IF(B7&lt;=$C$4,$E$4/ESL!$D$27*C7,-IPMT($E$4/2,B7-$C$4,$D$4-$C$4,$B$4,0,0)))</f>
        <v>0</v>
      </c>
      <c r="E7" s="16">
        <f>+F7-D7</f>
        <v>0</v>
      </c>
      <c r="F7" s="16">
        <f>+IF(ROUND(C7,4)&lt;=0,0,IF(B7&lt;=$C$4,D7,-PMT($E$4/2,$D$4-$C$4,$B$4,0,0)))</f>
        <v>0</v>
      </c>
      <c r="H7" s="13">
        <v>1</v>
      </c>
      <c r="I7" s="16">
        <f>+H4</f>
        <v>0</v>
      </c>
      <c r="J7" s="16">
        <f>+IF(H7&gt;$J$4,0,IF(H7&lt;=$I$4,$K$4/ESL!$D$27*I7,-IPMT($K$4/2,H7-$I$4,$J$4-$I$4,$H$4,0,0)))</f>
        <v>0</v>
      </c>
      <c r="K7" s="16">
        <f t="shared" ref="K7:K19" si="0">+L7-J7</f>
        <v>0</v>
      </c>
      <c r="L7" s="16">
        <f>+IF(ROUND(I7,4)&lt;=0,0,IF(H7&lt;=$I$4,J7,-PMT($K$4/2,$J$4-$I$4,$H$4,0,0)))</f>
        <v>0</v>
      </c>
    </row>
    <row r="8" spans="2:12" x14ac:dyDescent="0.35">
      <c r="B8" s="13">
        <v>2</v>
      </c>
      <c r="C8" s="16">
        <f>+C7-E7</f>
        <v>0</v>
      </c>
      <c r="D8" s="16">
        <f>+IF(B8&gt;$D$4,0,IF(B8&lt;=$C$4,$E$4/ESL!$D$27*C8,-IPMT($E$4/2,B8-$C$4,$D$4-$C$4,$B$4,0,0)))</f>
        <v>0</v>
      </c>
      <c r="E8" s="16">
        <f t="shared" ref="E8:E20" si="1">+F8-D8</f>
        <v>0</v>
      </c>
      <c r="F8" s="16">
        <f t="shared" ref="F8:F20" si="2">+IF(ROUND(C8,4)&lt;=0,0,IF(B8&lt;=$C$4,D8,-PMT($E$4/2,$D$4-$C$4,$B$4,0,0)))</f>
        <v>0</v>
      </c>
      <c r="H8" s="13">
        <v>2</v>
      </c>
      <c r="I8" s="16">
        <f t="shared" ref="I8:I19" si="3">+I7-K7</f>
        <v>0</v>
      </c>
      <c r="J8" s="16">
        <f>+IF(H8&gt;$J$4,0,IF(H8&lt;=$I$4,$K$4/ESL!$D$27*I8,-IPMT($K$4/2,H8-$I$4,$J$4-$I$4,$H$4,0,0)))</f>
        <v>0</v>
      </c>
      <c r="K8" s="16">
        <f t="shared" si="0"/>
        <v>0</v>
      </c>
      <c r="L8" s="16">
        <f t="shared" ref="L8:L20" si="4">+IF(ROUND(I8,4)&lt;=0,0,IF(H8&lt;=$I$4,J8,-PMT($K$4/2,$J$4-$I$4,$H$4,0,0)))</f>
        <v>0</v>
      </c>
    </row>
    <row r="9" spans="2:12" x14ac:dyDescent="0.35">
      <c r="B9" s="13">
        <v>3</v>
      </c>
      <c r="C9" s="16">
        <f t="shared" ref="C9:C20" si="5">+C8-E8</f>
        <v>0</v>
      </c>
      <c r="D9" s="16">
        <f>+IF(B9&gt;$D$4,0,IF(B9&lt;=$C$4,$E$4/ESL!$D$27*C9,-IPMT($E$4/2,B9-$C$4,$D$4-$C$4,$B$4,0,0)))</f>
        <v>0</v>
      </c>
      <c r="E9" s="16">
        <f t="shared" si="1"/>
        <v>0</v>
      </c>
      <c r="F9" s="16">
        <f t="shared" si="2"/>
        <v>0</v>
      </c>
      <c r="H9" s="13">
        <v>3</v>
      </c>
      <c r="I9" s="16">
        <f t="shared" si="3"/>
        <v>0</v>
      </c>
      <c r="J9" s="16">
        <f>+IF(H9&gt;$J$4,0,IF(H9&lt;=$I$4,$K$4/ESL!$D$27*I9,-IPMT($K$4/2,H9-$I$4,$J$4-$I$4,$H$4,0,0)))</f>
        <v>0</v>
      </c>
      <c r="K9" s="16">
        <f t="shared" si="0"/>
        <v>0</v>
      </c>
      <c r="L9" s="16">
        <f t="shared" si="4"/>
        <v>0</v>
      </c>
    </row>
    <row r="10" spans="2:12" x14ac:dyDescent="0.35">
      <c r="B10" s="13">
        <v>4</v>
      </c>
      <c r="C10" s="16">
        <f t="shared" si="5"/>
        <v>0</v>
      </c>
      <c r="D10" s="16">
        <f>+IF(B10&gt;$D$4,0,IF(B10&lt;=$C$4,$E$4/ESL!$D$27*C10,-IPMT($E$4/2,B10-$C$4,$D$4-$C$4,$B$4,0,0)))</f>
        <v>0</v>
      </c>
      <c r="E10" s="16">
        <f t="shared" si="1"/>
        <v>0</v>
      </c>
      <c r="F10" s="16">
        <f t="shared" si="2"/>
        <v>0</v>
      </c>
      <c r="H10" s="13">
        <v>4</v>
      </c>
      <c r="I10" s="16">
        <f t="shared" si="3"/>
        <v>0</v>
      </c>
      <c r="J10" s="16">
        <f>+IF(H10&gt;$J$4,0,IF(H10&lt;=$I$4,$K$4/ESL!$D$27*I10,-IPMT($K$4/2,H10-$I$4,$J$4-$I$4,$H$4,0,0)))</f>
        <v>0</v>
      </c>
      <c r="K10" s="16">
        <f t="shared" si="0"/>
        <v>0</v>
      </c>
      <c r="L10" s="16">
        <f t="shared" si="4"/>
        <v>0</v>
      </c>
    </row>
    <row r="11" spans="2:12" x14ac:dyDescent="0.35">
      <c r="B11" s="13">
        <v>5</v>
      </c>
      <c r="C11" s="16">
        <f t="shared" si="5"/>
        <v>0</v>
      </c>
      <c r="D11" s="16">
        <f>+IF(B11&gt;$D$4,0,IF(B11&lt;=$C$4,$E$4/ESL!$D$27*C11,-IPMT($E$4/2,B11-$C$4,$D$4-$C$4,$B$4,0,0)))</f>
        <v>0</v>
      </c>
      <c r="E11" s="16">
        <f t="shared" si="1"/>
        <v>0</v>
      </c>
      <c r="F11" s="16">
        <f t="shared" si="2"/>
        <v>0</v>
      </c>
      <c r="H11" s="13">
        <v>5</v>
      </c>
      <c r="I11" s="16">
        <f t="shared" si="3"/>
        <v>0</v>
      </c>
      <c r="J11" s="16">
        <f>+IF(H11&gt;$J$4,0,IF(H11&lt;=$I$4,$K$4/ESL!$D$27*I11,-IPMT($K$4/2,H11-$I$4,$J$4-$I$4,$H$4,0,0)))</f>
        <v>0</v>
      </c>
      <c r="K11" s="16">
        <f t="shared" si="0"/>
        <v>0</v>
      </c>
      <c r="L11" s="16">
        <f t="shared" si="4"/>
        <v>0</v>
      </c>
    </row>
    <row r="12" spans="2:12" x14ac:dyDescent="0.35">
      <c r="B12" s="13">
        <v>6</v>
      </c>
      <c r="C12" s="16">
        <f t="shared" si="5"/>
        <v>0</v>
      </c>
      <c r="D12" s="16">
        <f>+IF(B12&gt;$D$4,0,IF(B12&lt;=$C$4,$E$4/ESL!$D$27*C12,-IPMT($E$4/2,B12-$C$4,$D$4-$C$4,$B$4,0,0)))</f>
        <v>0</v>
      </c>
      <c r="E12" s="16">
        <f t="shared" si="1"/>
        <v>0</v>
      </c>
      <c r="F12" s="16">
        <f t="shared" si="2"/>
        <v>0</v>
      </c>
      <c r="H12" s="13">
        <v>6</v>
      </c>
      <c r="I12" s="16">
        <f t="shared" si="3"/>
        <v>0</v>
      </c>
      <c r="J12" s="16">
        <f>+IF(H12&gt;$J$4,0,IF(H12&lt;=$I$4,$K$4/ESL!$D$27*I12,-IPMT($K$4/2,H12-$I$4,$J$4-$I$4,$H$4,0,0)))</f>
        <v>0</v>
      </c>
      <c r="K12" s="16">
        <f t="shared" si="0"/>
        <v>0</v>
      </c>
      <c r="L12" s="16">
        <f t="shared" si="4"/>
        <v>0</v>
      </c>
    </row>
    <row r="13" spans="2:12" x14ac:dyDescent="0.35">
      <c r="B13" s="13">
        <v>7</v>
      </c>
      <c r="C13" s="16">
        <f t="shared" si="5"/>
        <v>0</v>
      </c>
      <c r="D13" s="16">
        <f>+IF(B13&gt;$D$4,0,IF(B13&lt;=$C$4,$E$4/ESL!$D$27*C13,-IPMT($E$4/2,B13-$C$4,$D$4-$C$4,$B$4,0,0)))</f>
        <v>0</v>
      </c>
      <c r="E13" s="16">
        <f t="shared" si="1"/>
        <v>0</v>
      </c>
      <c r="F13" s="16">
        <f t="shared" si="2"/>
        <v>0</v>
      </c>
      <c r="H13" s="13">
        <v>7</v>
      </c>
      <c r="I13" s="16">
        <f t="shared" si="3"/>
        <v>0</v>
      </c>
      <c r="J13" s="16">
        <f>+IF(H13&gt;$J$4,0,IF(H13&lt;=$I$4,$K$4/ESL!$D$27*I13,-IPMT($K$4/2,H13-$I$4,$J$4-$I$4,$H$4,0,0)))</f>
        <v>0</v>
      </c>
      <c r="K13" s="16">
        <f t="shared" si="0"/>
        <v>0</v>
      </c>
      <c r="L13" s="16">
        <f t="shared" si="4"/>
        <v>0</v>
      </c>
    </row>
    <row r="14" spans="2:12" x14ac:dyDescent="0.35">
      <c r="B14" s="13">
        <v>8</v>
      </c>
      <c r="C14" s="16">
        <f t="shared" si="5"/>
        <v>0</v>
      </c>
      <c r="D14" s="16">
        <f>+IF(B14&gt;$D$4,0,IF(B14&lt;=$C$4,$E$4/ESL!$D$27*C14,-IPMT($E$4/2,B14-$C$4,$D$4-$C$4,$B$4,0,0)))</f>
        <v>0</v>
      </c>
      <c r="E14" s="16">
        <f t="shared" si="1"/>
        <v>0</v>
      </c>
      <c r="F14" s="16">
        <f t="shared" si="2"/>
        <v>0</v>
      </c>
      <c r="H14" s="13">
        <v>8</v>
      </c>
      <c r="I14" s="16">
        <f t="shared" si="3"/>
        <v>0</v>
      </c>
      <c r="J14" s="16">
        <f>+IF(H14&gt;$J$4,0,IF(H14&lt;=$I$4,$K$4/ESL!$D$27*I14,-IPMT($K$4/2,H14-$I$4,$J$4-$I$4,$H$4,0,0)))</f>
        <v>0</v>
      </c>
      <c r="K14" s="16">
        <f t="shared" si="0"/>
        <v>0</v>
      </c>
      <c r="L14" s="16">
        <f t="shared" si="4"/>
        <v>0</v>
      </c>
    </row>
    <row r="15" spans="2:12" x14ac:dyDescent="0.35">
      <c r="B15" s="13">
        <v>9</v>
      </c>
      <c r="C15" s="16">
        <f t="shared" si="5"/>
        <v>0</v>
      </c>
      <c r="D15" s="16">
        <f>+IF(B15&gt;$D$4,0,IF(B15&lt;=$C$4,$E$4/ESL!$D$27*C15,-IPMT($E$4/2,B15-$C$4,$D$4-$C$4,$B$4,0,0)))</f>
        <v>0</v>
      </c>
      <c r="E15" s="16">
        <f t="shared" si="1"/>
        <v>0</v>
      </c>
      <c r="F15" s="16">
        <f t="shared" si="2"/>
        <v>0</v>
      </c>
      <c r="H15" s="13">
        <v>9</v>
      </c>
      <c r="I15" s="16">
        <f t="shared" si="3"/>
        <v>0</v>
      </c>
      <c r="J15" s="16">
        <f>+IF(H15&gt;$J$4,0,IF(H15&lt;=$I$4,$K$4/ESL!$D$27*I15,-IPMT($K$4/2,H15-$I$4,$J$4-$I$4,$H$4,0,0)))</f>
        <v>0</v>
      </c>
      <c r="K15" s="16">
        <f t="shared" si="0"/>
        <v>0</v>
      </c>
      <c r="L15" s="16">
        <f t="shared" si="4"/>
        <v>0</v>
      </c>
    </row>
    <row r="16" spans="2:12" x14ac:dyDescent="0.35">
      <c r="B16" s="13">
        <v>10</v>
      </c>
      <c r="C16" s="16">
        <f t="shared" si="5"/>
        <v>0</v>
      </c>
      <c r="D16" s="16">
        <f>+IF(B16&gt;$D$4,0,IF(B16&lt;=$C$4,$E$4/ESL!$D$27*C16,-IPMT($E$4/2,B16-$C$4,$D$4-$C$4,$B$4,0,0)))</f>
        <v>0</v>
      </c>
      <c r="E16" s="16">
        <f t="shared" si="1"/>
        <v>0</v>
      </c>
      <c r="F16" s="16">
        <f t="shared" si="2"/>
        <v>0</v>
      </c>
      <c r="H16" s="13">
        <v>10</v>
      </c>
      <c r="I16" s="16">
        <f t="shared" si="3"/>
        <v>0</v>
      </c>
      <c r="J16" s="16">
        <f>+IF(H16&gt;$J$4,0,IF(H16&lt;=$I$4,$K$4/ESL!$D$27*I16,-IPMT($K$4/2,H16-$I$4,$J$4-$I$4,$H$4,0,0)))</f>
        <v>0</v>
      </c>
      <c r="K16" s="16">
        <f t="shared" si="0"/>
        <v>0</v>
      </c>
      <c r="L16" s="16">
        <f t="shared" si="4"/>
        <v>0</v>
      </c>
    </row>
    <row r="17" spans="2:12" x14ac:dyDescent="0.35">
      <c r="B17" s="13">
        <v>11</v>
      </c>
      <c r="C17" s="16">
        <f t="shared" si="5"/>
        <v>0</v>
      </c>
      <c r="D17" s="16">
        <f>+IF(B17&gt;$D$4,0,IF(B17&lt;=$C$4,$E$4/ESL!$D$27*C17,-IPMT($E$4/2,B17-$C$4,$D$4-$C$4,$B$4,0,0)))</f>
        <v>0</v>
      </c>
      <c r="E17" s="16">
        <f t="shared" si="1"/>
        <v>0</v>
      </c>
      <c r="F17" s="16">
        <f t="shared" si="2"/>
        <v>0</v>
      </c>
      <c r="H17" s="13">
        <v>11</v>
      </c>
      <c r="I17" s="16">
        <f t="shared" si="3"/>
        <v>0</v>
      </c>
      <c r="J17" s="16">
        <f>+IF(H17&gt;$J$4,0,IF(H17&lt;=$I$4,$K$4/ESL!$D$27*I17,-IPMT($K$4/2,H17-$I$4,$J$4-$I$4,$H$4,0,0)))</f>
        <v>0</v>
      </c>
      <c r="K17" s="16">
        <f t="shared" si="0"/>
        <v>0</v>
      </c>
      <c r="L17" s="16">
        <f t="shared" si="4"/>
        <v>0</v>
      </c>
    </row>
    <row r="18" spans="2:12" x14ac:dyDescent="0.35">
      <c r="B18" s="13">
        <v>12</v>
      </c>
      <c r="C18" s="16">
        <f t="shared" si="5"/>
        <v>0</v>
      </c>
      <c r="D18" s="16">
        <f>+IF(B18&gt;$D$4,0,IF(B18&lt;=$C$4,$E$4/ESL!$D$27*C18,-IPMT($E$4/2,B18-$C$4,$D$4-$C$4,$B$4,0,0)))</f>
        <v>0</v>
      </c>
      <c r="E18" s="16">
        <f t="shared" si="1"/>
        <v>0</v>
      </c>
      <c r="F18" s="16">
        <f t="shared" si="2"/>
        <v>0</v>
      </c>
      <c r="H18" s="13">
        <v>12</v>
      </c>
      <c r="I18" s="16">
        <f t="shared" si="3"/>
        <v>0</v>
      </c>
      <c r="J18" s="16">
        <f>+IF(H18&gt;$J$4,0,IF(H18&lt;=$I$4,$K$4/ESL!$D$27*I18,-IPMT($K$4/2,H18-$I$4,$J$4-$I$4,$H$4,0,0)))</f>
        <v>0</v>
      </c>
      <c r="K18" s="16">
        <f t="shared" si="0"/>
        <v>0</v>
      </c>
      <c r="L18" s="16">
        <f t="shared" si="4"/>
        <v>0</v>
      </c>
    </row>
    <row r="19" spans="2:12" x14ac:dyDescent="0.35">
      <c r="B19" s="13">
        <v>13</v>
      </c>
      <c r="C19" s="16">
        <f t="shared" si="5"/>
        <v>0</v>
      </c>
      <c r="D19" s="16">
        <f>+IF(B19&gt;$D$4,0,IF(B19&lt;=$C$4,$E$4/ESL!$D$27*C19,-IPMT($E$4/2,B19-$C$4,$D$4-$C$4,$B$4,0,0)))</f>
        <v>0</v>
      </c>
      <c r="E19" s="16">
        <f t="shared" si="1"/>
        <v>0</v>
      </c>
      <c r="F19" s="16">
        <f t="shared" si="2"/>
        <v>0</v>
      </c>
      <c r="H19" s="13">
        <v>13</v>
      </c>
      <c r="I19" s="16">
        <f t="shared" si="3"/>
        <v>0</v>
      </c>
      <c r="J19" s="16">
        <f>+IF(H19&gt;$J$4,0,IF(H19&lt;=$I$4,$K$4/ESL!$D$27*I19,-IPMT($K$4/2,H19-$I$4,$J$4-$I$4,$H$4,0,0)))</f>
        <v>0</v>
      </c>
      <c r="K19" s="16">
        <f t="shared" si="0"/>
        <v>0</v>
      </c>
      <c r="L19" s="16">
        <f t="shared" si="4"/>
        <v>0</v>
      </c>
    </row>
    <row r="20" spans="2:12" x14ac:dyDescent="0.35">
      <c r="B20" s="13">
        <v>14</v>
      </c>
      <c r="C20" s="16">
        <f t="shared" si="5"/>
        <v>0</v>
      </c>
      <c r="D20" s="16">
        <f>+IF(B20&gt;$D$4,0,IF(B20&lt;=$C$4,$E$4/ESL!$D$27*C20,-IPMT($E$4/2,B20-$C$4,$D$4-$C$4,$B$4,0,0)))</f>
        <v>0</v>
      </c>
      <c r="E20" s="16">
        <f t="shared" si="1"/>
        <v>0</v>
      </c>
      <c r="F20" s="16">
        <f t="shared" si="2"/>
        <v>0</v>
      </c>
      <c r="H20" s="13">
        <v>14</v>
      </c>
      <c r="I20" s="16">
        <f t="shared" ref="I20:I21" si="6">+I19-K19</f>
        <v>0</v>
      </c>
      <c r="J20" s="16">
        <f>+IF(H20&gt;$J$4,0,IF(H20&lt;=$I$4,$K$4/ESL!$D$27*I20,-IPMT($K$4/2,H20-$I$4,$J$4-$I$4,$H$4,0,0)))</f>
        <v>0</v>
      </c>
      <c r="K20" s="16">
        <f t="shared" ref="K20:K21" si="7">+L20-J20</f>
        <v>0</v>
      </c>
      <c r="L20" s="16">
        <f t="shared" si="4"/>
        <v>0</v>
      </c>
    </row>
    <row r="21" spans="2:12" x14ac:dyDescent="0.35">
      <c r="B21" s="13">
        <v>15</v>
      </c>
      <c r="C21" s="16">
        <f t="shared" ref="C21:C26" si="8">+C20-E20</f>
        <v>0</v>
      </c>
      <c r="D21" s="16">
        <f>+IF(B21&gt;$D$4,0,IF(B21&lt;=$C$4,$E$4/ESL!$D$27*C21,-IPMT($E$4/2,B21-$C$4,$D$4-$C$4,$B$4,0,0)))</f>
        <v>0</v>
      </c>
      <c r="E21" s="16">
        <f t="shared" ref="E21:E26" si="9">+F21-D21</f>
        <v>0</v>
      </c>
      <c r="F21" s="16">
        <f t="shared" ref="F21:F26" si="10">+IF(ROUND(C21,4)&lt;=0,0,IF(B21&lt;=$C$4,D21,-PMT($E$4/2,$D$4-$C$4,$B$4,0,0)))</f>
        <v>0</v>
      </c>
      <c r="H21" s="13">
        <v>15</v>
      </c>
      <c r="I21" s="16">
        <f t="shared" si="6"/>
        <v>0</v>
      </c>
      <c r="J21" s="16">
        <f>+IF(H21&gt;$J$4,0,IF(H21&lt;=$I$4,$K$4/ESL!$D$27*I21,-IPMT($K$4/2,H21-$I$4,$J$4-$I$4,$H$4,0,0)))</f>
        <v>0</v>
      </c>
      <c r="K21" s="16">
        <f t="shared" si="7"/>
        <v>0</v>
      </c>
      <c r="L21" s="16">
        <f t="shared" ref="L21:L26" si="11">+IF(ROUND(I21,4)&lt;=0,0,IF(H21&lt;=$I$4,J21,-PMT($K$4/2,$J$4-$I$4,$H$4,0,0)))</f>
        <v>0</v>
      </c>
    </row>
    <row r="22" spans="2:12" x14ac:dyDescent="0.35">
      <c r="B22" s="13">
        <v>16</v>
      </c>
      <c r="C22" s="16">
        <f t="shared" si="8"/>
        <v>0</v>
      </c>
      <c r="D22" s="16">
        <f>+IF(B22&gt;$D$4,0,IF(B22&lt;=$C$4,$E$4/ESL!$D$27*C22,-IPMT($E$4/2,B22-$C$4,$D$4-$C$4,$B$4,0,0)))</f>
        <v>0</v>
      </c>
      <c r="E22" s="16">
        <f t="shared" si="9"/>
        <v>0</v>
      </c>
      <c r="F22" s="16">
        <f t="shared" si="10"/>
        <v>0</v>
      </c>
      <c r="H22" s="13">
        <v>16</v>
      </c>
      <c r="I22" s="16">
        <f t="shared" ref="I22:I26" si="12">+I21-K21</f>
        <v>0</v>
      </c>
      <c r="J22" s="16">
        <f>+IF(H22&gt;$J$4,0,IF(H22&lt;=$I$4,$K$4/ESL!$D$27*I22,-IPMT($K$4/2,H22-$I$4,$J$4-$I$4,$H$4,0,0)))</f>
        <v>0</v>
      </c>
      <c r="K22" s="16">
        <f t="shared" ref="K22:K26" si="13">+L22-J22</f>
        <v>0</v>
      </c>
      <c r="L22" s="16">
        <f t="shared" si="11"/>
        <v>0</v>
      </c>
    </row>
    <row r="23" spans="2:12" x14ac:dyDescent="0.35">
      <c r="B23" s="13">
        <v>17</v>
      </c>
      <c r="C23" s="16">
        <f t="shared" si="8"/>
        <v>0</v>
      </c>
      <c r="D23" s="16">
        <f>+IF(B23&gt;$D$4,0,IF(B23&lt;=$C$4,$E$4/ESL!$D$27*C23,-IPMT($E$4/2,B23-$C$4,$D$4-$C$4,$B$4,0,0)))</f>
        <v>0</v>
      </c>
      <c r="E23" s="16">
        <f t="shared" si="9"/>
        <v>0</v>
      </c>
      <c r="F23" s="16">
        <f t="shared" si="10"/>
        <v>0</v>
      </c>
      <c r="H23" s="13">
        <v>17</v>
      </c>
      <c r="I23" s="16">
        <f t="shared" si="12"/>
        <v>0</v>
      </c>
      <c r="J23" s="16">
        <f>+IF(H23&gt;$J$4,0,IF(H23&lt;=$I$4,$K$4/ESL!$D$27*I23,-IPMT($K$4/2,H23-$I$4,$J$4-$I$4,$H$4,0,0)))</f>
        <v>0</v>
      </c>
      <c r="K23" s="16">
        <f t="shared" si="13"/>
        <v>0</v>
      </c>
      <c r="L23" s="16">
        <f t="shared" si="11"/>
        <v>0</v>
      </c>
    </row>
    <row r="24" spans="2:12" x14ac:dyDescent="0.35">
      <c r="B24" s="13">
        <v>18</v>
      </c>
      <c r="C24" s="16">
        <f t="shared" si="8"/>
        <v>0</v>
      </c>
      <c r="D24" s="16">
        <f>+IF(B24&gt;$D$4,0,IF(B24&lt;=$C$4,$E$4/ESL!$D$27*C24,-IPMT($E$4/2,B24-$C$4,$D$4-$C$4,$B$4,0,0)))</f>
        <v>0</v>
      </c>
      <c r="E24" s="16">
        <f t="shared" si="9"/>
        <v>0</v>
      </c>
      <c r="F24" s="16">
        <f t="shared" si="10"/>
        <v>0</v>
      </c>
      <c r="H24" s="13">
        <v>18</v>
      </c>
      <c r="I24" s="16">
        <f t="shared" si="12"/>
        <v>0</v>
      </c>
      <c r="J24" s="16">
        <f>+IF(H24&gt;$J$4,0,IF(H24&lt;=$I$4,$K$4/ESL!$D$27*I24,-IPMT($K$4/2,H24-$I$4,$J$4-$I$4,$H$4,0,0)))</f>
        <v>0</v>
      </c>
      <c r="K24" s="16">
        <f t="shared" si="13"/>
        <v>0</v>
      </c>
      <c r="L24" s="16">
        <f t="shared" si="11"/>
        <v>0</v>
      </c>
    </row>
    <row r="25" spans="2:12" x14ac:dyDescent="0.35">
      <c r="B25" s="13">
        <v>19</v>
      </c>
      <c r="C25" s="16">
        <f t="shared" si="8"/>
        <v>0</v>
      </c>
      <c r="D25" s="16">
        <f>+IF(B25&gt;$D$4,0,IF(B25&lt;=$C$4,$E$4/ESL!$D$27*C25,-IPMT($E$4/2,B25-$C$4,$D$4-$C$4,$B$4,0,0)))</f>
        <v>0</v>
      </c>
      <c r="E25" s="16">
        <f t="shared" si="9"/>
        <v>0</v>
      </c>
      <c r="F25" s="16">
        <f t="shared" si="10"/>
        <v>0</v>
      </c>
      <c r="H25" s="13">
        <v>19</v>
      </c>
      <c r="I25" s="16">
        <f t="shared" si="12"/>
        <v>0</v>
      </c>
      <c r="J25" s="16">
        <f>+IF(H25&gt;$J$4,0,IF(H25&lt;=$I$4,$K$4/ESL!$D$27*I25,-IPMT($K$4/2,H25-$I$4,$J$4-$I$4,$H$4,0,0)))</f>
        <v>0</v>
      </c>
      <c r="K25" s="16">
        <f t="shared" si="13"/>
        <v>0</v>
      </c>
      <c r="L25" s="16">
        <f t="shared" si="11"/>
        <v>0</v>
      </c>
    </row>
    <row r="26" spans="2:12" x14ac:dyDescent="0.35">
      <c r="B26" s="13">
        <v>20</v>
      </c>
      <c r="C26" s="16">
        <f t="shared" si="8"/>
        <v>0</v>
      </c>
      <c r="D26" s="16">
        <f>+IF(B26&gt;$D$4,0,IF(B26&lt;=$C$4,$E$4/ESL!$D$27*C26,-IPMT($E$4/2,B26-$C$4,$D$4-$C$4,$B$4,0,0)))</f>
        <v>0</v>
      </c>
      <c r="E26" s="16">
        <f t="shared" si="9"/>
        <v>0</v>
      </c>
      <c r="F26" s="16">
        <f t="shared" si="10"/>
        <v>0</v>
      </c>
      <c r="H26" s="13">
        <v>20</v>
      </c>
      <c r="I26" s="16">
        <f t="shared" si="12"/>
        <v>0</v>
      </c>
      <c r="J26" s="16">
        <f>+IF(H26&gt;$J$4,0,IF(H26&lt;=$I$4,$K$4/ESL!$D$27*I26,-IPMT($K$4/2,H26-$I$4,$J$4-$I$4,$H$4,0,0)))</f>
        <v>0</v>
      </c>
      <c r="K26" s="16">
        <f t="shared" si="13"/>
        <v>0</v>
      </c>
      <c r="L26" s="16">
        <f t="shared" si="11"/>
        <v>0</v>
      </c>
    </row>
    <row r="27" spans="2:12" x14ac:dyDescent="0.35">
      <c r="C27" s="17" t="s">
        <v>15</v>
      </c>
      <c r="D27" s="18">
        <f>+SUM(D7:D26)</f>
        <v>0</v>
      </c>
      <c r="E27" s="18">
        <f>+SUM(E7:E26)</f>
        <v>0</v>
      </c>
      <c r="F27" s="19">
        <f>+SUM(F7:F26)</f>
        <v>0</v>
      </c>
      <c r="I27" s="17" t="s">
        <v>15</v>
      </c>
      <c r="J27" s="18">
        <f>+SUM(J7:J26)</f>
        <v>0</v>
      </c>
      <c r="K27" s="18">
        <f>+SUM(K7:K26)</f>
        <v>0</v>
      </c>
      <c r="L27" s="19">
        <f>+SUM(L7:L26)</f>
        <v>0</v>
      </c>
    </row>
  </sheetData>
  <sheetProtection algorithmName="SHA-512" hashValue="Iz8wkKWezteUewncqFH37qQ40RBIflwkU3E0gknaWYefi19HXzajx/vlDjWoDza7JR+FC+TaEWM8HARQzzdHtA==" saltValue="bLv923FGnGbRkP9121IlFA==" spinCount="100000" sheet="1" selectLockedCells="1"/>
  <mergeCells count="2">
    <mergeCell ref="B1:F1"/>
    <mergeCell ref="H1:L1"/>
  </mergeCells>
  <pageMargins left="0.25" right="0.25" top="0.75" bottom="0.75" header="0.3" footer="0.3"/>
  <pageSetup paperSize="9" scale="76"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Foglio3">
    <pageSetUpPr fitToPage="1"/>
  </sheetPr>
  <dimension ref="B2:H57"/>
  <sheetViews>
    <sheetView showGridLines="0" zoomScale="90" zoomScaleNormal="90" workbookViewId="0">
      <selection sqref="A1:XFD1048576"/>
    </sheetView>
  </sheetViews>
  <sheetFormatPr defaultColWidth="9.1796875" defaultRowHeight="15.5" x14ac:dyDescent="0.35"/>
  <cols>
    <col min="1" max="1" width="9.1796875" style="22"/>
    <col min="2" max="2" width="25.1796875" style="22" bestFit="1" customWidth="1"/>
    <col min="3" max="3" width="19.1796875" style="22" bestFit="1" customWidth="1"/>
    <col min="4" max="4" width="24.1796875" style="22" customWidth="1"/>
    <col min="5" max="5" width="24" style="22" customWidth="1"/>
    <col min="6" max="6" width="11.453125" style="22" bestFit="1" customWidth="1"/>
    <col min="7" max="7" width="12.54296875" style="22" bestFit="1" customWidth="1"/>
    <col min="8" max="16384" width="9.1796875" style="22"/>
  </cols>
  <sheetData>
    <row r="2" spans="2:8" ht="46.5" customHeight="1" x14ac:dyDescent="0.35">
      <c r="B2" s="20" t="s">
        <v>56</v>
      </c>
      <c r="C2" s="21">
        <v>510000</v>
      </c>
    </row>
    <row r="3" spans="2:8" ht="46.5" x14ac:dyDescent="0.35">
      <c r="B3" s="20" t="s">
        <v>35</v>
      </c>
      <c r="C3" s="21">
        <v>390000</v>
      </c>
      <c r="D3" s="55">
        <v>0.65</v>
      </c>
      <c r="F3" s="130" t="s">
        <v>51</v>
      </c>
      <c r="G3" s="130"/>
      <c r="H3" s="38">
        <v>0.85</v>
      </c>
    </row>
    <row r="4" spans="2:8" x14ac:dyDescent="0.35">
      <c r="B4" s="20"/>
      <c r="C4" s="23"/>
    </row>
    <row r="5" spans="2:8" ht="31" x14ac:dyDescent="0.35">
      <c r="B5" s="20" t="s">
        <v>37</v>
      </c>
      <c r="C5" s="24">
        <v>0.2</v>
      </c>
      <c r="D5" s="55">
        <v>0.2</v>
      </c>
    </row>
    <row r="8" spans="2:8" x14ac:dyDescent="0.35">
      <c r="B8" s="25" t="s">
        <v>38</v>
      </c>
    </row>
    <row r="9" spans="2:8" x14ac:dyDescent="0.35">
      <c r="B9" s="25"/>
    </row>
    <row r="10" spans="2:8" x14ac:dyDescent="0.35">
      <c r="C10" s="129" t="s">
        <v>28</v>
      </c>
      <c r="D10" s="129"/>
      <c r="E10" s="129"/>
    </row>
    <row r="11" spans="2:8" x14ac:dyDescent="0.35">
      <c r="B11" s="25" t="s">
        <v>22</v>
      </c>
      <c r="C11" s="26" t="s">
        <v>58</v>
      </c>
      <c r="D11" s="26" t="s">
        <v>59</v>
      </c>
      <c r="E11" s="26" t="s">
        <v>60</v>
      </c>
    </row>
    <row r="12" spans="2:8" x14ac:dyDescent="0.35">
      <c r="B12" s="25" t="s">
        <v>23</v>
      </c>
      <c r="C12" s="34">
        <v>6.0000000000000001E-3</v>
      </c>
      <c r="D12" s="34">
        <v>7.4999999999999997E-3</v>
      </c>
      <c r="E12" s="34">
        <v>0.01</v>
      </c>
    </row>
    <row r="13" spans="2:8" x14ac:dyDescent="0.35">
      <c r="B13" s="25" t="s">
        <v>24</v>
      </c>
      <c r="C13" s="34">
        <v>7.4999999999999997E-3</v>
      </c>
      <c r="D13" s="34">
        <v>0.01</v>
      </c>
      <c r="E13" s="34">
        <v>2.1999999999999999E-2</v>
      </c>
    </row>
    <row r="14" spans="2:8" x14ac:dyDescent="0.35">
      <c r="B14" s="25" t="s">
        <v>25</v>
      </c>
      <c r="C14" s="34">
        <v>0.01</v>
      </c>
      <c r="D14" s="34">
        <v>2.1999999999999999E-2</v>
      </c>
      <c r="E14" s="34">
        <v>0.04</v>
      </c>
    </row>
    <row r="15" spans="2:8" x14ac:dyDescent="0.35">
      <c r="B15" s="25" t="s">
        <v>26</v>
      </c>
      <c r="C15" s="34">
        <v>2.1999999999999999E-2</v>
      </c>
      <c r="D15" s="34">
        <v>0.04</v>
      </c>
      <c r="E15" s="34">
        <v>6.5000000000000002E-2</v>
      </c>
    </row>
    <row r="16" spans="2:8" x14ac:dyDescent="0.35">
      <c r="B16" s="25" t="s">
        <v>27</v>
      </c>
      <c r="C16" s="34">
        <v>0.04</v>
      </c>
      <c r="D16" s="34">
        <v>6.5000000000000002E-2</v>
      </c>
      <c r="E16" s="34">
        <v>0.1</v>
      </c>
    </row>
    <row r="19" spans="2:7" x14ac:dyDescent="0.35">
      <c r="B19" s="41" t="s">
        <v>72</v>
      </c>
      <c r="C19" s="39" t="s">
        <v>57</v>
      </c>
      <c r="D19" s="39"/>
    </row>
    <row r="20" spans="2:7" x14ac:dyDescent="0.35">
      <c r="C20"/>
      <c r="D20" s="32" t="s">
        <v>67</v>
      </c>
      <c r="E20" s="25" t="s">
        <v>22</v>
      </c>
      <c r="F20" s="26" t="s">
        <v>0</v>
      </c>
    </row>
    <row r="21" spans="2:7" x14ac:dyDescent="0.35">
      <c r="C21"/>
      <c r="D21" s="31">
        <v>1</v>
      </c>
      <c r="E21" s="27" t="s">
        <v>23</v>
      </c>
      <c r="F21" s="33">
        <f>$E$12</f>
        <v>0.01</v>
      </c>
      <c r="G21" s="28" t="s">
        <v>61</v>
      </c>
    </row>
    <row r="22" spans="2:7" x14ac:dyDescent="0.35">
      <c r="C22"/>
      <c r="D22" s="31">
        <v>2</v>
      </c>
      <c r="E22" s="27" t="s">
        <v>23</v>
      </c>
      <c r="F22" s="33">
        <f t="shared" ref="F22:F25" si="0">$E$12</f>
        <v>0.01</v>
      </c>
      <c r="G22" s="28" t="s">
        <v>61</v>
      </c>
    </row>
    <row r="23" spans="2:7" x14ac:dyDescent="0.35">
      <c r="C23"/>
      <c r="D23" s="31">
        <v>3</v>
      </c>
      <c r="E23" s="27" t="s">
        <v>23</v>
      </c>
      <c r="F23" s="33">
        <f t="shared" si="0"/>
        <v>0.01</v>
      </c>
      <c r="G23" s="28" t="s">
        <v>61</v>
      </c>
    </row>
    <row r="24" spans="2:7" x14ac:dyDescent="0.35">
      <c r="C24"/>
      <c r="D24" s="31">
        <v>4</v>
      </c>
      <c r="E24" s="27" t="s">
        <v>23</v>
      </c>
      <c r="F24" s="33">
        <f t="shared" si="0"/>
        <v>0.01</v>
      </c>
      <c r="G24" s="28" t="s">
        <v>61</v>
      </c>
    </row>
    <row r="25" spans="2:7" x14ac:dyDescent="0.35">
      <c r="C25"/>
      <c r="D25" s="31">
        <v>5</v>
      </c>
      <c r="E25" s="27" t="s">
        <v>23</v>
      </c>
      <c r="F25" s="33">
        <f t="shared" si="0"/>
        <v>0.01</v>
      </c>
      <c r="G25" s="28" t="s">
        <v>61</v>
      </c>
    </row>
    <row r="26" spans="2:7" x14ac:dyDescent="0.35">
      <c r="C26"/>
      <c r="D26" s="31">
        <v>6</v>
      </c>
      <c r="E26" s="27" t="s">
        <v>24</v>
      </c>
      <c r="F26" s="33">
        <f t="shared" ref="F26:F27" si="1">$E$13</f>
        <v>2.1999999999999999E-2</v>
      </c>
      <c r="G26" s="28" t="s">
        <v>61</v>
      </c>
    </row>
    <row r="27" spans="2:7" x14ac:dyDescent="0.35">
      <c r="C27"/>
      <c r="D27" s="31">
        <v>7</v>
      </c>
      <c r="E27" s="27" t="s">
        <v>24</v>
      </c>
      <c r="F27" s="33">
        <f t="shared" si="1"/>
        <v>2.1999999999999999E-2</v>
      </c>
      <c r="G27" s="28" t="s">
        <v>61</v>
      </c>
    </row>
    <row r="28" spans="2:7" x14ac:dyDescent="0.35">
      <c r="C28"/>
      <c r="D28" s="31">
        <v>8</v>
      </c>
      <c r="E28" s="27" t="s">
        <v>25</v>
      </c>
      <c r="F28" s="33">
        <f>E14</f>
        <v>0.04</v>
      </c>
      <c r="G28" s="28" t="s">
        <v>63</v>
      </c>
    </row>
    <row r="29" spans="2:7" x14ac:dyDescent="0.35">
      <c r="C29"/>
      <c r="D29" s="31">
        <v>9</v>
      </c>
      <c r="E29" s="27" t="s">
        <v>26</v>
      </c>
      <c r="F29" s="33">
        <f>D15</f>
        <v>0.04</v>
      </c>
      <c r="G29" s="28" t="s">
        <v>64</v>
      </c>
    </row>
    <row r="30" spans="2:7" x14ac:dyDescent="0.35">
      <c r="C30"/>
      <c r="D30" s="31">
        <v>10</v>
      </c>
      <c r="E30" s="27" t="s">
        <v>27</v>
      </c>
      <c r="F30" s="33">
        <v>0.04</v>
      </c>
      <c r="G30" s="28" t="s">
        <v>65</v>
      </c>
    </row>
    <row r="31" spans="2:7" x14ac:dyDescent="0.35">
      <c r="C31" s="40"/>
      <c r="D31" s="40"/>
      <c r="F31" s="36"/>
      <c r="G31" s="28"/>
    </row>
    <row r="32" spans="2:7" x14ac:dyDescent="0.35">
      <c r="B32" s="41" t="s">
        <v>62</v>
      </c>
      <c r="C32" s="39" t="s">
        <v>66</v>
      </c>
      <c r="D32" s="39"/>
    </row>
    <row r="33" spans="2:8" x14ac:dyDescent="0.35">
      <c r="C33" s="32" t="s">
        <v>48</v>
      </c>
      <c r="D33" s="32" t="s">
        <v>49</v>
      </c>
      <c r="E33" s="25" t="s">
        <v>22</v>
      </c>
      <c r="F33" s="26" t="s">
        <v>0</v>
      </c>
    </row>
    <row r="34" spans="2:8" x14ac:dyDescent="0.35">
      <c r="C34" s="31">
        <v>80</v>
      </c>
      <c r="D34" s="31">
        <v>100</v>
      </c>
      <c r="E34" s="27" t="s">
        <v>25</v>
      </c>
      <c r="F34" s="33">
        <v>0.04</v>
      </c>
      <c r="G34" s="28" t="s">
        <v>61</v>
      </c>
    </row>
    <row r="35" spans="2:8" x14ac:dyDescent="0.35">
      <c r="C35" s="31">
        <v>70</v>
      </c>
      <c r="D35" s="31">
        <v>80</v>
      </c>
      <c r="E35" s="27" t="s">
        <v>25</v>
      </c>
      <c r="F35" s="33">
        <f>E14</f>
        <v>0.04</v>
      </c>
      <c r="G35" s="28" t="s">
        <v>63</v>
      </c>
    </row>
    <row r="36" spans="2:8" x14ac:dyDescent="0.35">
      <c r="C36" s="31">
        <v>60</v>
      </c>
      <c r="D36" s="31">
        <v>70</v>
      </c>
      <c r="E36" s="27" t="s">
        <v>26</v>
      </c>
      <c r="F36" s="33">
        <f>$D$15</f>
        <v>0.04</v>
      </c>
      <c r="G36" s="28" t="s">
        <v>64</v>
      </c>
    </row>
    <row r="37" spans="2:8" x14ac:dyDescent="0.35">
      <c r="C37" s="31">
        <v>50</v>
      </c>
      <c r="D37" s="31">
        <v>60</v>
      </c>
      <c r="E37" s="27" t="s">
        <v>27</v>
      </c>
      <c r="F37" s="33">
        <f>$D$15</f>
        <v>0.04</v>
      </c>
      <c r="G37" s="28" t="s">
        <v>65</v>
      </c>
    </row>
    <row r="38" spans="2:8" x14ac:dyDescent="0.35">
      <c r="C38" s="40"/>
      <c r="D38" s="40"/>
      <c r="F38" s="36"/>
      <c r="G38" s="28"/>
    </row>
    <row r="39" spans="2:8" x14ac:dyDescent="0.35">
      <c r="C39" s="22" t="s">
        <v>55</v>
      </c>
    </row>
    <row r="40" spans="2:8" x14ac:dyDescent="0.35">
      <c r="C40" s="35" t="s">
        <v>69</v>
      </c>
      <c r="D40" s="36"/>
      <c r="E40" s="35"/>
      <c r="F40" s="35"/>
      <c r="G40" s="35"/>
      <c r="H40" s="35"/>
    </row>
    <row r="41" spans="2:8" x14ac:dyDescent="0.35">
      <c r="C41" s="35" t="s">
        <v>40</v>
      </c>
      <c r="D41" s="37"/>
      <c r="E41" s="35"/>
      <c r="F41" s="35"/>
      <c r="G41" s="35"/>
      <c r="H41" s="35"/>
    </row>
    <row r="43" spans="2:8" x14ac:dyDescent="0.35">
      <c r="C43" s="22" t="s">
        <v>55</v>
      </c>
    </row>
    <row r="44" spans="2:8" x14ac:dyDescent="0.35">
      <c r="B44"/>
      <c r="C44" s="22">
        <v>1</v>
      </c>
    </row>
    <row r="45" spans="2:8" x14ac:dyDescent="0.35">
      <c r="B45"/>
      <c r="C45" s="22">
        <v>2</v>
      </c>
    </row>
    <row r="46" spans="2:8" x14ac:dyDescent="0.35">
      <c r="B46"/>
      <c r="C46" s="22">
        <v>3</v>
      </c>
    </row>
    <row r="47" spans="2:8" x14ac:dyDescent="0.35">
      <c r="B47"/>
      <c r="C47" s="22">
        <v>4</v>
      </c>
    </row>
    <row r="48" spans="2:8" x14ac:dyDescent="0.35">
      <c r="B48"/>
      <c r="C48" s="22">
        <v>5</v>
      </c>
    </row>
    <row r="49" spans="2:3" x14ac:dyDescent="0.35">
      <c r="B49"/>
      <c r="C49" s="22">
        <v>6</v>
      </c>
    </row>
    <row r="50" spans="2:3" x14ac:dyDescent="0.35">
      <c r="B50"/>
      <c r="C50" s="22">
        <v>7</v>
      </c>
    </row>
    <row r="51" spans="2:3" x14ac:dyDescent="0.35">
      <c r="B51"/>
      <c r="C51" s="22">
        <v>8</v>
      </c>
    </row>
    <row r="52" spans="2:3" x14ac:dyDescent="0.35">
      <c r="B52"/>
      <c r="C52" s="22">
        <v>9</v>
      </c>
    </row>
    <row r="53" spans="2:3" x14ac:dyDescent="0.35">
      <c r="B53"/>
      <c r="C53" s="22">
        <v>10</v>
      </c>
    </row>
    <row r="54" spans="2:3" x14ac:dyDescent="0.35">
      <c r="B54"/>
      <c r="C54" s="22">
        <v>11</v>
      </c>
    </row>
    <row r="55" spans="2:3" x14ac:dyDescent="0.35">
      <c r="B55"/>
      <c r="C55" s="22">
        <v>12</v>
      </c>
    </row>
    <row r="56" spans="2:3" x14ac:dyDescent="0.35">
      <c r="B56"/>
    </row>
    <row r="57" spans="2:3" x14ac:dyDescent="0.35">
      <c r="B57"/>
    </row>
  </sheetData>
  <sheetProtection algorithmName="SHA-512" hashValue="Vr0F7fiM9DR6DNngwbe6owi37CaFmJENcYunk74cNZHy54Nb2IBCrNxDUd4laq3gYpAsTe1loaZeSPBhXcVDzA==" saltValue="Fghstv91yahjCZkHZJJ/qw==" spinCount="100000" sheet="1" objects="1" scenarios="1"/>
  <mergeCells count="2">
    <mergeCell ref="C10:E10"/>
    <mergeCell ref="F3:G3"/>
  </mergeCells>
  <pageMargins left="0.25" right="0.25" top="0.75" bottom="0.75" header="0.3" footer="0.3"/>
  <pageSetup paperSize="9" scale="67"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A9FD43-B199-4648-9C2F-FFA44AFD81B2}">
  <dimension ref="A1:B29"/>
  <sheetViews>
    <sheetView workbookViewId="0"/>
  </sheetViews>
  <sheetFormatPr defaultRowHeight="14.5" x14ac:dyDescent="0.35"/>
  <cols>
    <col min="1" max="1" width="62.1796875" customWidth="1"/>
    <col min="2" max="2" width="45.26953125" style="48" customWidth="1"/>
  </cols>
  <sheetData>
    <row r="1" spans="1:2" x14ac:dyDescent="0.35">
      <c r="A1" t="s">
        <v>81</v>
      </c>
      <c r="B1" s="49" t="s">
        <v>82</v>
      </c>
    </row>
    <row r="2" spans="1:2" x14ac:dyDescent="0.35">
      <c r="A2" t="s">
        <v>83</v>
      </c>
      <c r="B2" s="48" t="str">
        <f>ESL!B1</f>
        <v>ESL - VERSO NUOVI MERCATI - Sportello 2025</v>
      </c>
    </row>
    <row r="3" spans="1:2" x14ac:dyDescent="0.35">
      <c r="A3" t="str">
        <f>ESL!B2</f>
        <v>Soggetto richiedente:</v>
      </c>
      <c r="B3" s="48">
        <f>ESL!C2</f>
        <v>0</v>
      </c>
    </row>
    <row r="4" spans="1:2" x14ac:dyDescent="0.35">
      <c r="A4" t="str">
        <f>ESL!B3</f>
        <v>ID Progetto:</v>
      </c>
      <c r="B4" s="48">
        <f>ESL!C3</f>
        <v>0</v>
      </c>
    </row>
    <row r="5" spans="1:2" x14ac:dyDescent="0.35">
      <c r="A5" t="str">
        <f>ESL!C7</f>
        <v>Tipo impresa</v>
      </c>
      <c r="B5" s="48" t="str">
        <f>ESL!D7</f>
        <v>Impresa consolidata</v>
      </c>
    </row>
    <row r="6" spans="1:2" x14ac:dyDescent="0.35">
      <c r="A6" t="str">
        <f>ESL!C8</f>
        <v>Classe di valutazione finale</v>
      </c>
      <c r="B6" s="48">
        <f>ESL!D8</f>
        <v>6</v>
      </c>
    </row>
    <row r="7" spans="1:2" x14ac:dyDescent="0.35">
      <c r="A7" t="str">
        <f>ESL!C9</f>
        <v>Rating associato</v>
      </c>
      <c r="B7" s="48" t="str">
        <f>ESL!D9</f>
        <v>Good (BBB)</v>
      </c>
    </row>
    <row r="8" spans="1:2" x14ac:dyDescent="0.35">
      <c r="A8" t="str">
        <f>ESL!C12</f>
        <v>Spese ammissibili (€)</v>
      </c>
      <c r="B8" s="48">
        <f>ESL!D12</f>
        <v>0</v>
      </c>
    </row>
    <row r="9" spans="1:2" x14ac:dyDescent="0.35">
      <c r="A9" t="str">
        <f>ESL!C16</f>
        <v>Finanziamento regionale proposto (€)</v>
      </c>
      <c r="B9" s="48">
        <f>ESL!D16</f>
        <v>0</v>
      </c>
    </row>
    <row r="10" spans="1:2" x14ac:dyDescent="0.35">
      <c r="A10" t="str">
        <f>ESL!C17</f>
        <v>Contributo risultati occupazionali (€)</v>
      </c>
      <c r="B10" s="48">
        <f>ESL!D17</f>
        <v>0</v>
      </c>
    </row>
    <row r="11" spans="1:2" x14ac:dyDescent="0.35">
      <c r="A11">
        <f>ESL!C18</f>
        <v>0</v>
      </c>
      <c r="B11" s="48">
        <f>ESL!D18</f>
        <v>0</v>
      </c>
    </row>
    <row r="12" spans="1:2" x14ac:dyDescent="0.35">
      <c r="A12" t="str">
        <f>ESL!C16&amp;" - "&amp;ESL!$E$15</f>
        <v>Finanziamento regionale proposto (€) - % delle spese ammissibili</v>
      </c>
      <c r="B12" s="50">
        <f>ESL!E16</f>
        <v>0</v>
      </c>
    </row>
    <row r="13" spans="1:2" x14ac:dyDescent="0.35">
      <c r="A13" t="str">
        <f>ESL!C17&amp;" - "&amp;ESL!$E$15</f>
        <v>Contributo risultati occupazionali (€) - % delle spese ammissibili</v>
      </c>
      <c r="B13" s="50">
        <f>ESL!E17</f>
        <v>0</v>
      </c>
    </row>
    <row r="14" spans="1:2" x14ac:dyDescent="0.35">
      <c r="A14" t="str">
        <f>ESL!C18&amp;" - "&amp;ESL!$E$15</f>
        <v xml:space="preserve"> - % delle spese ammissibili</v>
      </c>
      <c r="B14" s="50">
        <f>ESL!E18</f>
        <v>0</v>
      </c>
    </row>
    <row r="15" spans="1:2" x14ac:dyDescent="0.35">
      <c r="A15" t="str">
        <f>ESL!C23</f>
        <v>Durata finanziamento
(Anni)</v>
      </c>
      <c r="B15" s="48">
        <f>ESL!D23</f>
        <v>0</v>
      </c>
    </row>
    <row r="16" spans="1:2" x14ac:dyDescent="0.35">
      <c r="A16" t="str">
        <f>ESL!C24&amp;" "&amp;ESL!E24</f>
        <v>N. Rate pre-ammortamento (semestrali)</v>
      </c>
      <c r="B16" s="48">
        <f>ESL!D24</f>
        <v>0</v>
      </c>
    </row>
    <row r="17" spans="1:2" x14ac:dyDescent="0.35">
      <c r="A17" t="str">
        <f>ESL!C25</f>
        <v>Rate totali</v>
      </c>
      <c r="B17" s="48">
        <f>ESL!D25</f>
        <v>0</v>
      </c>
    </row>
    <row r="18" spans="1:2" x14ac:dyDescent="0.35">
      <c r="A18" t="str">
        <f>ESL!C26</f>
        <v>Rate ammortamento</v>
      </c>
      <c r="B18" s="48">
        <f>ESL!D26</f>
        <v>0</v>
      </c>
    </row>
    <row r="19" spans="1:2" x14ac:dyDescent="0.35">
      <c r="A19" t="str">
        <f>ESL!C27</f>
        <v>Rate / anno</v>
      </c>
      <c r="B19" s="48">
        <f>ESL!D27</f>
        <v>2</v>
      </c>
    </row>
    <row r="20" spans="1:2" x14ac:dyDescent="0.35">
      <c r="A20" t="str">
        <f>ESL!C31</f>
        <v>Tasso applicato su fondi regionali</v>
      </c>
      <c r="B20" s="51">
        <f>ESL!D31</f>
        <v>1.4999999999999999E-2</v>
      </c>
    </row>
    <row r="21" spans="1:2" x14ac:dyDescent="0.35">
      <c r="A21" t="str">
        <f>ESL!C36</f>
        <v>Base rate</v>
      </c>
      <c r="B21" s="51">
        <f>ESL!D36</f>
        <v>2.2100000000000002E-2</v>
      </c>
    </row>
    <row r="22" spans="1:2" x14ac:dyDescent="0.35">
      <c r="A22" t="str">
        <f>ESL!C36&amp;" "&amp;"(Data di decorrenza)"</f>
        <v>Base rate (Data di decorrenza)</v>
      </c>
      <c r="B22" s="52">
        <f>ESL!I40</f>
        <v>45839</v>
      </c>
    </row>
    <row r="23" spans="1:2" x14ac:dyDescent="0.35">
      <c r="A23" t="str">
        <f>ESL!C37</f>
        <v>Spread</v>
      </c>
      <c r="B23" s="51">
        <f>ESL!D37</f>
        <v>2.1999999999999999E-2</v>
      </c>
    </row>
    <row r="24" spans="1:2" x14ac:dyDescent="0.35">
      <c r="A24" t="str">
        <f>ESL!C38</f>
        <v>Tasso mercato</v>
      </c>
      <c r="B24" s="51">
        <f>ESL!D38</f>
        <v>4.41E-2</v>
      </c>
    </row>
    <row r="25" spans="1:2" x14ac:dyDescent="0.35">
      <c r="A25" t="str">
        <f>ESL!C40</f>
        <v>Tasso di attualizzazione</v>
      </c>
      <c r="B25" s="51">
        <f>ESL!D40</f>
        <v>3.2100000000000004E-2</v>
      </c>
    </row>
    <row r="26" spans="1:2" x14ac:dyDescent="0.35">
      <c r="A26" t="str">
        <f>ESL!B45</f>
        <v>ESL finanziamento</v>
      </c>
      <c r="B26" s="54">
        <f>ESL!C45</f>
        <v>0</v>
      </c>
    </row>
    <row r="27" spans="1:2" x14ac:dyDescent="0.35">
      <c r="A27" t="str">
        <f>ESL!B46</f>
        <v>ESL contributi</v>
      </c>
      <c r="B27" s="48">
        <f>ESL!C46</f>
        <v>0</v>
      </c>
    </row>
    <row r="28" spans="1:2" x14ac:dyDescent="0.35">
      <c r="A28" t="str">
        <f>ESL!B48</f>
        <v>De minimis ultimo triennio risultanti da RNA  (€)</v>
      </c>
      <c r="B28" s="53">
        <f>ESL!E48</f>
        <v>0</v>
      </c>
    </row>
    <row r="29" spans="1:2" x14ac:dyDescent="0.35">
      <c r="A29" t="str">
        <f>ESL!B49</f>
        <v>De minimis totali (compresi finanziamento e contributi proposti)</v>
      </c>
      <c r="B29" s="53">
        <f>ESL!E49</f>
        <v>0</v>
      </c>
    </row>
  </sheetData>
  <sheetProtection algorithmName="SHA-512" hashValue="yB/HwubDB4NSj6bRVYM7jx7vABeRp6c5aJqLbRxB9UKp7HG45qnIh2I2ni/GWrnKBVGp6O+vbbmlpeVV6ikcUQ==" saltValue="6pFbiX8FhTTlynqNs2nLSQ==" spinCount="100000" sheet="1" objects="1" scenarios="1"/>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5</vt:i4>
      </vt:variant>
      <vt:variant>
        <vt:lpstr>Intervalli denominati</vt:lpstr>
      </vt:variant>
      <vt:variant>
        <vt:i4>4</vt:i4>
      </vt:variant>
    </vt:vector>
  </HeadingPairs>
  <TitlesOfParts>
    <vt:vector size="9" baseType="lpstr">
      <vt:lpstr>PROSPETTO</vt:lpstr>
      <vt:lpstr>ESL</vt:lpstr>
      <vt:lpstr>Flussi finanziamento</vt:lpstr>
      <vt:lpstr>Configurazione</vt:lpstr>
      <vt:lpstr>TabSintesi</vt:lpstr>
      <vt:lpstr>Configurazione!Area_stampa</vt:lpstr>
      <vt:lpstr>ESL!Area_stampa</vt:lpstr>
      <vt:lpstr>'Flussi finanziamento'!Area_stampa</vt:lpstr>
      <vt:lpstr>PROSPETTO!Area_stampa</vt:lpstr>
    </vt:vector>
  </TitlesOfParts>
  <Company>HP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Edoardo Raimondi</dc:creator>
  <cp:lastModifiedBy>Massimiliano Ambrosecchia</cp:lastModifiedBy>
  <cp:lastPrinted>2025-07-31T09:12:39Z</cp:lastPrinted>
  <dcterms:created xsi:type="dcterms:W3CDTF">2015-03-04T16:19:48Z</dcterms:created>
  <dcterms:modified xsi:type="dcterms:W3CDTF">2025-07-31T09:19:50Z</dcterms:modified>
</cp:coreProperties>
</file>